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90" windowWidth="13380" windowHeight="11640" activeTab="0"/>
  </bookViews>
  <sheets>
    <sheet name="Tabelle1" sheetId="1" r:id="rId1"/>
    <sheet name="Tabelle2" sheetId="2" r:id="rId2"/>
    <sheet name="Tabelle3" sheetId="3" r:id="rId3"/>
  </sheets>
  <definedNames>
    <definedName name="_ftn1" localSheetId="0">'Tabelle1'!#REF!</definedName>
    <definedName name="_ftn2" localSheetId="0">'Tabelle1'!#REF!</definedName>
    <definedName name="_ftnref1" localSheetId="0">'Tabelle1'!#REF!</definedName>
    <definedName name="_ftnref2" localSheetId="0">'Tabelle1'!#REF!</definedName>
  </definedNames>
  <calcPr calcMode="manual" fullCalcOnLoad="1"/>
</workbook>
</file>

<file path=xl/sharedStrings.xml><?xml version="1.0" encoding="utf-8"?>
<sst xmlns="http://schemas.openxmlformats.org/spreadsheetml/2006/main" count="10724" uniqueCount="4236">
  <si>
    <t>Tripalmitin (Alfa Aesar)</t>
  </si>
  <si>
    <t>555-44-2</t>
  </si>
  <si>
    <t>nwg </t>
  </si>
  <si>
    <t>Glycin</t>
  </si>
  <si>
    <t xml:space="preserve">Aminoessig­säure </t>
  </si>
  <si>
    <t>(Roth)</t>
  </si>
  <si>
    <t>56-40-6</t>
  </si>
  <si>
    <t>Glykoldinitrat</t>
  </si>
  <si>
    <t>Ethylendinitrat</t>
  </si>
  <si>
    <t>628-96-6</t>
  </si>
  <si>
    <t>E, T+</t>
  </si>
  <si>
    <t>3-26/27/28-33</t>
  </si>
  <si>
    <t>27/28-33-35-36/37-45</t>
  </si>
  <si>
    <t>Glykolsäure</t>
  </si>
  <si>
    <t>Hydroxyessigsäure</t>
  </si>
  <si>
    <t>79-14-1</t>
  </si>
  <si>
    <t>22- 26-36/37/39-45</t>
  </si>
  <si>
    <t>Glyoxal</t>
  </si>
  <si>
    <t xml:space="preserve">w = 40 % in Wasser </t>
  </si>
  <si>
    <t>107-22-2</t>
  </si>
  <si>
    <t>20-36/38-43-68</t>
  </si>
  <si>
    <t>M 3, H, S</t>
  </si>
  <si>
    <t>Graphit</t>
  </si>
  <si>
    <t>7782-42-5</t>
  </si>
  <si>
    <t>Gummi arabicum</t>
  </si>
  <si>
    <t>9000-01-5</t>
  </si>
  <si>
    <t>26 </t>
  </si>
  <si>
    <t>Haematoxylin</t>
  </si>
  <si>
    <t>517-28-2</t>
  </si>
  <si>
    <t>Haematoxylin-Lösung nach Delafield</t>
  </si>
  <si>
    <t>enthält Methanol und Isopropanol (Roth)</t>
  </si>
  <si>
    <t>67-56-1</t>
  </si>
  <si>
    <t>11-20/21/22-39/23/24/25</t>
  </si>
  <si>
    <t>7-16-36/37-45</t>
  </si>
  <si>
    <t>Hämalaunlösung nach Mayer</t>
  </si>
  <si>
    <t>enthält Chloralhydrat (Roth)</t>
  </si>
  <si>
    <t>Harnstoff</t>
  </si>
  <si>
    <t xml:space="preserve">Carbamid (LANXESS) </t>
  </si>
  <si>
    <t>57-13-6</t>
  </si>
  <si>
    <r>
      <t>n</t>
    </r>
    <r>
      <rPr>
        <sz val="10"/>
        <rFont val="Arial"/>
        <family val="2"/>
      </rPr>
      <t>-Heptan</t>
    </r>
  </si>
  <si>
    <t>142-82-5</t>
  </si>
  <si>
    <t>11-38-50/53-65-67</t>
  </si>
  <si>
    <t>9-16-29-33-60-61-62</t>
  </si>
  <si>
    <t>Heptan-1-ol</t>
  </si>
  <si>
    <t>111-70-6</t>
  </si>
  <si>
    <t>21/22-36</t>
  </si>
  <si>
    <t>Heptan-2-ol</t>
  </si>
  <si>
    <t>543-49-7</t>
  </si>
  <si>
    <t>21-36</t>
  </si>
  <si>
    <t>Heptan-3-ol</t>
  </si>
  <si>
    <t>589-82-2</t>
  </si>
  <si>
    <t>Heptan-4-ol</t>
  </si>
  <si>
    <t>Across Organics</t>
  </si>
  <si>
    <t>589-55-9 </t>
  </si>
  <si>
    <t>10-36</t>
  </si>
  <si>
    <t>16-26-39</t>
  </si>
  <si>
    <t>Hexachlorbuta-1,3-dien</t>
  </si>
  <si>
    <t xml:space="preserve">Perchlorbutadien </t>
  </si>
  <si>
    <t>(Lancaster)</t>
  </si>
  <si>
    <t>87-68-3</t>
  </si>
  <si>
    <t>23/24/25-40</t>
  </si>
  <si>
    <t>Hexachlorethan</t>
  </si>
  <si>
    <t xml:space="preserve">Perchlorethan </t>
  </si>
  <si>
    <t>67-72-1</t>
  </si>
  <si>
    <t>36/37/38-40-51/53</t>
  </si>
  <si>
    <t>Platinchlorid</t>
  </si>
  <si>
    <t>16941-12-1</t>
  </si>
  <si>
    <t>25-34-42/43</t>
  </si>
  <si>
    <t>Hexadecan-1-ol</t>
  </si>
  <si>
    <t>Cetylalkohol (Merck)</t>
  </si>
  <si>
    <t>36653-82-4</t>
  </si>
  <si>
    <t>Hexamethylentetramin</t>
  </si>
  <si>
    <t>Metenamin, Urotropin</t>
  </si>
  <si>
    <t>100-97-0</t>
  </si>
  <si>
    <t>11-43</t>
  </si>
  <si>
    <r>
      <t xml:space="preserve">Xi: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1 %</t>
    </r>
  </si>
  <si>
    <r>
      <t>n</t>
    </r>
    <r>
      <rPr>
        <sz val="10"/>
        <rFont val="Arial"/>
        <family val="2"/>
      </rPr>
      <t>-Hexan</t>
    </r>
  </si>
  <si>
    <t>110-54-3</t>
  </si>
  <si>
    <t>9-16-29-33-36/37-61-62</t>
  </si>
  <si>
    <r>
      <t>H, 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3</t>
    </r>
  </si>
  <si>
    <r>
      <t xml:space="preserve">Xn: 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10 %</t>
    </r>
  </si>
  <si>
    <t>Hexan-1-ol</t>
  </si>
  <si>
    <t>111-27-3</t>
  </si>
  <si>
    <t>Hexan-2-ol</t>
  </si>
  <si>
    <t>626-93-7</t>
  </si>
  <si>
    <t>Hexan-3-ol</t>
  </si>
  <si>
    <t>623-37-0</t>
  </si>
  <si>
    <t>Hexan-3-on</t>
  </si>
  <si>
    <t>Ethyl-propylketon (Merck)</t>
  </si>
  <si>
    <t>589-38-8</t>
  </si>
  <si>
    <t>Hexansäure</t>
  </si>
  <si>
    <t xml:space="preserve">Capronsäure </t>
  </si>
  <si>
    <t>142-62-1</t>
  </si>
  <si>
    <t>Hex-1-en</t>
  </si>
  <si>
    <t>592-41-6</t>
  </si>
  <si>
    <t>11-65</t>
  </si>
  <si>
    <t>9-16-29-33-62</t>
  </si>
  <si>
    <t>Holzkohle gepulvert</t>
  </si>
  <si>
    <t>Holzstaub, atembar</t>
  </si>
  <si>
    <t>ZVG-Nr. 96430</t>
  </si>
  <si>
    <t>K 3</t>
  </si>
  <si>
    <t>Hydrazin</t>
  </si>
  <si>
    <t xml:space="preserve">w = 64 % in Wasser </t>
  </si>
  <si>
    <t>7803-57-8</t>
  </si>
  <si>
    <t>45-10-23/24/25-34-43-50/53</t>
  </si>
  <si>
    <t>- S, -w, oL, ESP</t>
  </si>
  <si>
    <t>5341-61-7</t>
  </si>
  <si>
    <t>K 2, S</t>
  </si>
  <si>
    <t>Hydrazinsulfat</t>
  </si>
  <si>
    <t>10034-93-2</t>
  </si>
  <si>
    <t xml:space="preserve">3-Hydroxy-2-naphthoesäure </t>
  </si>
  <si>
    <t>92-70-6</t>
  </si>
  <si>
    <t>22-41</t>
  </si>
  <si>
    <t>Hydroxyaceton</t>
  </si>
  <si>
    <t xml:space="preserve">Acetol </t>
  </si>
  <si>
    <t>116-09-6</t>
  </si>
  <si>
    <t>Methyl-4-hydroxybenzoat (Merck)</t>
  </si>
  <si>
    <t>99-76-3</t>
  </si>
  <si>
    <t>8-Hydroxychinolin</t>
  </si>
  <si>
    <t xml:space="preserve">Oxin </t>
  </si>
  <si>
    <t>148-24-3</t>
  </si>
  <si>
    <t>Hydroxylaminhydrochlorid</t>
  </si>
  <si>
    <t>5470-11-1</t>
  </si>
  <si>
    <t>E, Xn, N</t>
  </si>
  <si>
    <t>2-21/22-36/38-40-43-48/22-50</t>
  </si>
  <si>
    <t>-S, oL, ESP</t>
  </si>
  <si>
    <t>Hydroxylammonium­sulfat</t>
  </si>
  <si>
    <t>10039-54-0</t>
  </si>
  <si>
    <t>IDAN Brillant PLUS</t>
  </si>
  <si>
    <t>Fußbodenpflegemittel (Ecolab)</t>
  </si>
  <si>
    <t>Iminodiessigsäure</t>
  </si>
  <si>
    <t>142-73-4</t>
  </si>
  <si>
    <t>Indigo</t>
  </si>
  <si>
    <t>C.I. 73000 (Roth)</t>
  </si>
  <si>
    <t>482-89-3</t>
  </si>
  <si>
    <t>Indigocarmin</t>
  </si>
  <si>
    <t>C.I. 73015 (Merck)</t>
  </si>
  <si>
    <t>860-22-0</t>
  </si>
  <si>
    <t>Indol</t>
  </si>
  <si>
    <t>120-72-9</t>
  </si>
  <si>
    <t>21/22-36-50</t>
  </si>
  <si>
    <t>36/37-61 </t>
  </si>
  <si>
    <t>Indol-3-Essigsäure</t>
  </si>
  <si>
    <t>Heteroauxin (Merck)</t>
  </si>
  <si>
    <t>87-51-4</t>
  </si>
  <si>
    <t>Iod</t>
  </si>
  <si>
    <t>7553-56-2</t>
  </si>
  <si>
    <t>20/21-50</t>
  </si>
  <si>
    <t>23-25-61</t>
  </si>
  <si>
    <t>2-Iodanilin</t>
  </si>
  <si>
    <t>615-43-0</t>
  </si>
  <si>
    <t>Iodmonobromid</t>
  </si>
  <si>
    <t>7789-33-5</t>
  </si>
  <si>
    <t>1-Iodbutan</t>
  </si>
  <si>
    <t>542-69-8</t>
  </si>
  <si>
    <t>Iodchlorid</t>
  </si>
  <si>
    <t>Chloriodid (Merck)</t>
  </si>
  <si>
    <t>7790-99-0</t>
  </si>
  <si>
    <t>Iodethan</t>
  </si>
  <si>
    <t>Ethyliodid (Merck)</t>
  </si>
  <si>
    <t>75-03-6</t>
  </si>
  <si>
    <t>10-36/37/38</t>
  </si>
  <si>
    <t>23-26</t>
  </si>
  <si>
    <t>Iodessigsäure</t>
  </si>
  <si>
    <t>64-69-7</t>
  </si>
  <si>
    <t>25-35</t>
  </si>
  <si>
    <t>22-36/37/39-45</t>
  </si>
  <si>
    <r>
      <t xml:space="preserve">Xi R 36/38: 2 %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10 %</t>
    </r>
  </si>
  <si>
    <r>
      <t xml:space="preserve">T, R 40: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1 %</t>
    </r>
  </si>
  <si>
    <r>
      <t xml:space="preserve">Xn R21/22-36/38: 1%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5%</t>
    </r>
  </si>
  <si>
    <r>
      <t xml:space="preserve">Xi R36/37: 1%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3 %</t>
    </r>
  </si>
  <si>
    <r>
      <t xml:space="preserve">Xn: </t>
    </r>
    <r>
      <rPr>
        <u val="single"/>
        <sz val="10"/>
        <rFont val="Arial"/>
        <family val="2"/>
      </rPr>
      <t xml:space="preserve">&gt; </t>
    </r>
    <r>
      <rPr>
        <sz val="10"/>
        <rFont val="Arial"/>
        <family val="2"/>
      </rPr>
      <t>25%</t>
    </r>
  </si>
  <si>
    <r>
      <t xml:space="preserve">T R61-33: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0,5%</t>
    </r>
  </si>
  <si>
    <r>
      <t xml:space="preserve">T R61-33: 0,5%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1%</t>
    </r>
  </si>
  <si>
    <r>
      <t xml:space="preserve">Xn: 0.05%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0,1%</t>
    </r>
  </si>
  <si>
    <r>
      <t xml:space="preserve">R 60/61: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4,5 % wasserfrei;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6,5 % Pentahydrat,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8,5 % Decahydrat</t>
    </r>
  </si>
  <si>
    <r>
      <t xml:space="preserve"> R 60/61: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5,5 % </t>
    </r>
  </si>
  <si>
    <r>
      <t xml:space="preserve">R 60/61: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3,1 %</t>
    </r>
  </si>
  <si>
    <r>
      <t xml:space="preserve">Xn R40: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1 %</t>
    </r>
  </si>
  <si>
    <t>11-48/20-51/53-62-65-67</t>
  </si>
  <si>
    <t>9-16-23-24-33-61-52</t>
  </si>
  <si>
    <t>Nylanders Reagenz</t>
  </si>
  <si>
    <t>Fluka </t>
  </si>
  <si>
    <t>26-27-36/37/39-45</t>
  </si>
  <si>
    <t>- S. 4. Klasse, ESP</t>
  </si>
  <si>
    <t>1-Octadecanol</t>
  </si>
  <si>
    <t>Stearylalkohol (Merck)</t>
  </si>
  <si>
    <t>112-92-5</t>
  </si>
  <si>
    <t>Octadecylamin</t>
  </si>
  <si>
    <t>124-30-1</t>
  </si>
  <si>
    <t>75-47-8</t>
  </si>
  <si>
    <t>20/21/22-36/37/38</t>
  </si>
  <si>
    <t>Iodsäure</t>
  </si>
  <si>
    <t>7782-68-5</t>
  </si>
  <si>
    <t>O, C</t>
  </si>
  <si>
    <t>8-34</t>
  </si>
  <si>
    <t>17-26-36/37/39-45</t>
  </si>
  <si>
    <t>Iodwasserstoff</t>
  </si>
  <si>
    <t>10034-85-2</t>
  </si>
  <si>
    <r>
      <t xml:space="preserve">Xi: 0,02 %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0,2 %</t>
    </r>
  </si>
  <si>
    <t>67 %ige Lösung</t>
  </si>
  <si>
    <t>Isobutylacetat</t>
  </si>
  <si>
    <t>110-19-0</t>
  </si>
  <si>
    <t>Isopentylacetat</t>
  </si>
  <si>
    <t>Isoamylacetat</t>
  </si>
  <si>
    <t>123-92-2</t>
  </si>
  <si>
    <t>10-66</t>
  </si>
  <si>
    <t>23-25</t>
  </si>
  <si>
    <t>Isopropylacetat</t>
  </si>
  <si>
    <t>108-21-4</t>
  </si>
  <si>
    <t>16-26-29-33</t>
  </si>
  <si>
    <t xml:space="preserve">Kaliumhydroxid </t>
  </si>
  <si>
    <t>1310-58-3</t>
  </si>
  <si>
    <t>22-35</t>
  </si>
  <si>
    <r>
      <t xml:space="preserve">C: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2% </t>
    </r>
  </si>
  <si>
    <t>Kalium</t>
  </si>
  <si>
    <t>in Paraffinöl</t>
  </si>
  <si>
    <t>7440-09-7</t>
  </si>
  <si>
    <t>14/15-34</t>
  </si>
  <si>
    <t>5-8-43-45</t>
  </si>
  <si>
    <t xml:space="preserve">-S </t>
  </si>
  <si>
    <t>Kaliumacetat</t>
  </si>
  <si>
    <t>127-08-2</t>
  </si>
  <si>
    <t>Kaliumaluminiumsulfat</t>
  </si>
  <si>
    <t xml:space="preserve">Dodecahydrat </t>
  </si>
  <si>
    <t>Kaliumalaun</t>
  </si>
  <si>
    <t>7784-24-9</t>
  </si>
  <si>
    <t>Kaliumantimonyltartrat</t>
  </si>
  <si>
    <t xml:space="preserve">Brechweinstein </t>
  </si>
  <si>
    <t>28300-74-5</t>
  </si>
  <si>
    <t>- S 4.Klasse</t>
  </si>
  <si>
    <r>
      <t xml:space="preserve">Xn: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0,25 % </t>
    </r>
  </si>
  <si>
    <t>Kaliumbromat</t>
  </si>
  <si>
    <t>7758-01-2</t>
  </si>
  <si>
    <t>O, T</t>
  </si>
  <si>
    <t>45-9-25</t>
  </si>
  <si>
    <t>K 2 </t>
  </si>
  <si>
    <r>
      <t xml:space="preserve">T, R 45: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0,1 %</t>
    </r>
  </si>
  <si>
    <t>Kaliumbromid</t>
  </si>
  <si>
    <t>7785-02-3</t>
  </si>
  <si>
    <t>Kaliumcarbonat</t>
  </si>
  <si>
    <t>Pottasche</t>
  </si>
  <si>
    <t>584-08-7</t>
  </si>
  <si>
    <t>3811-04-9</t>
  </si>
  <si>
    <t>O, Xn, N</t>
  </si>
  <si>
    <t>9-20/22-51/53</t>
  </si>
  <si>
    <t>13-16-27-61</t>
  </si>
  <si>
    <t>- S, oL</t>
  </si>
  <si>
    <t>Kaliumchlorid</t>
  </si>
  <si>
    <t>7447-40-7</t>
  </si>
  <si>
    <t xml:space="preserve">Kaliumchrom(III)-sulfat </t>
  </si>
  <si>
    <t>Chromalaun</t>
  </si>
  <si>
    <t>(LANXESS)</t>
  </si>
  <si>
    <t>7788-99-0</t>
  </si>
  <si>
    <t>Kaliumchromat</t>
  </si>
  <si>
    <t>7789-00-6</t>
  </si>
  <si>
    <t>49-46-36/37/38-43-50/53</t>
  </si>
  <si>
    <t>K2, M2, H, S</t>
  </si>
  <si>
    <r>
      <t xml:space="preserve">T, R49: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0,1% </t>
    </r>
  </si>
  <si>
    <t>Kaliumcyanat</t>
  </si>
  <si>
    <t>590-28-3</t>
  </si>
  <si>
    <t>Kaliumcyanid</t>
  </si>
  <si>
    <t>Zyankali </t>
  </si>
  <si>
    <t>151-50-8</t>
  </si>
  <si>
    <t>26/27/28-32-50/53</t>
  </si>
  <si>
    <t>Kaliumdichromat</t>
  </si>
  <si>
    <t>7778-50-9</t>
  </si>
  <si>
    <t>45-46-60-61-8-21-25-26-34-42/43-48/23-50/53</t>
  </si>
  <si>
    <r>
      <t>K 2, M 2, 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 2 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 2, S</t>
    </r>
  </si>
  <si>
    <t>Kaliumdisulfat</t>
  </si>
  <si>
    <t>Dikaliumdisulfat</t>
  </si>
  <si>
    <t>7790-62-7</t>
  </si>
  <si>
    <t xml:space="preserve">C </t>
  </si>
  <si>
    <t>Kaliumdisulfit</t>
  </si>
  <si>
    <t>BASF </t>
  </si>
  <si>
    <t>16731-55-8</t>
  </si>
  <si>
    <t>37-41-31</t>
  </si>
  <si>
    <t>39-26</t>
  </si>
  <si>
    <t>Kaliumethylat</t>
  </si>
  <si>
    <t>917-58-8</t>
  </si>
  <si>
    <t>8-16-26-43-45</t>
  </si>
  <si>
    <t>Kaliumfluorid</t>
  </si>
  <si>
    <t>7789-23-3</t>
  </si>
  <si>
    <t xml:space="preserve">Kaliumhexacyanoferrat(II) </t>
  </si>
  <si>
    <t>Gelbes Blutlaugensalz (Merck)</t>
  </si>
  <si>
    <t>14459-95-1</t>
  </si>
  <si>
    <t>50-61</t>
  </si>
  <si>
    <t>Kaliumhexacyanoferrat(III)</t>
  </si>
  <si>
    <t>Rotes Blutlaugensalz (Merck)</t>
  </si>
  <si>
    <t>13746-66-2</t>
  </si>
  <si>
    <t>7778-77-0</t>
  </si>
  <si>
    <t>Kaliumhydrogencarbonat</t>
  </si>
  <si>
    <t>Kaliumbicarbonat</t>
  </si>
  <si>
    <t>298-14-6</t>
  </si>
  <si>
    <t>Kaliumhydrogensulfat</t>
  </si>
  <si>
    <t>7646-93-7</t>
  </si>
  <si>
    <t>Kaliumhydrogentartrat</t>
  </si>
  <si>
    <t>868-14-4</t>
  </si>
  <si>
    <t>Kaliumhydroxid</t>
  </si>
  <si>
    <t>Ätzkali</t>
  </si>
  <si>
    <r>
      <t xml:space="preserve">Xi R36/38: 0,5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2 %</t>
    </r>
  </si>
  <si>
    <t>Kaliumiodat</t>
  </si>
  <si>
    <t>7758-05-6</t>
  </si>
  <si>
    <t>8-41</t>
  </si>
  <si>
    <t>Kaliumiodid</t>
  </si>
  <si>
    <t>7681-11-0</t>
  </si>
  <si>
    <t>Kaliumnatriumtartrat</t>
  </si>
  <si>
    <t>6381-59-5</t>
  </si>
  <si>
    <t>Kaliumnitrat</t>
  </si>
  <si>
    <t>7757-79-1</t>
  </si>
  <si>
    <t>16-41</t>
  </si>
  <si>
    <t>Kaliumnitrit</t>
  </si>
  <si>
    <t>7758-09-0</t>
  </si>
  <si>
    <t>8-25-50</t>
  </si>
  <si>
    <t>45-61</t>
  </si>
  <si>
    <r>
      <t xml:space="preserve">Xn R22: 1%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5%</t>
    </r>
  </si>
  <si>
    <t xml:space="preserve">Kaliumoxalat </t>
  </si>
  <si>
    <t>Oxalsäure Kaliumsalz</t>
  </si>
  <si>
    <t>6487-48-5</t>
  </si>
  <si>
    <t>21-22</t>
  </si>
  <si>
    <t>Kaliumperchlorat</t>
  </si>
  <si>
    <t>7778-74-7</t>
  </si>
  <si>
    <t>9-22</t>
  </si>
  <si>
    <t>13-22-27</t>
  </si>
  <si>
    <t>Kaliumpermanganat</t>
  </si>
  <si>
    <t>7722-64-7</t>
  </si>
  <si>
    <t>8-22-50/53</t>
  </si>
  <si>
    <t>4 </t>
  </si>
  <si>
    <t>Kaliumperoxodisulfat</t>
  </si>
  <si>
    <t>Kaliumpersulfat</t>
  </si>
  <si>
    <t>7727-21-1</t>
  </si>
  <si>
    <t>tri-Kaliumphosphat Monohydrat</t>
  </si>
  <si>
    <t>27176-10-9</t>
  </si>
  <si>
    <r>
      <t xml:space="preserve">Xi R36/37//38: 5%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10 %</t>
    </r>
  </si>
  <si>
    <t>tri-Kaliumphosphat Trihydrat</t>
  </si>
  <si>
    <t>22763-03-7</t>
  </si>
  <si>
    <t>Kaliumsorbat</t>
  </si>
  <si>
    <t>24634-61-5</t>
  </si>
  <si>
    <t>Kaliumsulfat</t>
  </si>
  <si>
    <t>7778-80-5</t>
  </si>
  <si>
    <t>Kaliumsulfid</t>
  </si>
  <si>
    <t>und Kaliumpolysulfide</t>
  </si>
  <si>
    <t>1312-73-8</t>
  </si>
  <si>
    <t>37199-66-9</t>
  </si>
  <si>
    <t>31-34-50</t>
  </si>
  <si>
    <t>Kaliumsulfit</t>
  </si>
  <si>
    <t>10117-38-1</t>
  </si>
  <si>
    <t>di-Kaliumtartrat Hemihydrat</t>
  </si>
  <si>
    <t>Weinsäure Dikaliumsalz</t>
  </si>
  <si>
    <t>(Aldrich)</t>
  </si>
  <si>
    <t>6100-19-2</t>
  </si>
  <si>
    <t>22-24/25 </t>
  </si>
  <si>
    <t>Kaliumthiocyanat</t>
  </si>
  <si>
    <t>Kaliumrhodanid</t>
  </si>
  <si>
    <t>333-20-0</t>
  </si>
  <si>
    <t>20/21/22-32-52/53</t>
  </si>
  <si>
    <t>13-36/37-46-61</t>
  </si>
  <si>
    <t>Kalkmilch</t>
  </si>
  <si>
    <t xml:space="preserve">Calciumdihydroxid Suspension in Wasser </t>
  </si>
  <si>
    <t>(Märker Kalk)</t>
  </si>
  <si>
    <t>38-41</t>
  </si>
  <si>
    <t>25-26-37-39</t>
  </si>
  <si>
    <t>Karbol-Fuchsin-Lösung</t>
  </si>
  <si>
    <t>20/21/22-34-68</t>
  </si>
  <si>
    <r>
      <t xml:space="preserve">Xi: 36/37/38: w : 5 %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10% </t>
    </r>
  </si>
  <si>
    <t>Karmin-Lösung nach Best</t>
  </si>
  <si>
    <t xml:space="preserve">ammoniakalisch </t>
  </si>
  <si>
    <t>(FLUKA)</t>
  </si>
  <si>
    <t>Karmin-Lösung nach Mayer</t>
  </si>
  <si>
    <t>enthält Aluminiumchlorid, sauer (FLUKA)</t>
  </si>
  <si>
    <t>51395-97-2 </t>
  </si>
  <si>
    <t>Kerosin</t>
  </si>
  <si>
    <t>8008-20-6</t>
  </si>
  <si>
    <t>- S 4.   Klasse</t>
  </si>
  <si>
    <t>Kieselgel</t>
  </si>
  <si>
    <t>Merck </t>
  </si>
  <si>
    <t>7631-86-9</t>
  </si>
  <si>
    <t>Kieselgur</t>
  </si>
  <si>
    <t>68855-54-9</t>
  </si>
  <si>
    <t>48/20</t>
  </si>
  <si>
    <t>0,3 A</t>
  </si>
  <si>
    <t>Kieselsäure</t>
  </si>
  <si>
    <t>7699-44-4</t>
  </si>
  <si>
    <t>20-37</t>
  </si>
  <si>
    <t>9-36</t>
  </si>
  <si>
    <t>Kohlenstoffdioxid</t>
  </si>
  <si>
    <t>Kohlendioxid</t>
  </si>
  <si>
    <t>(Air Liquide)</t>
  </si>
  <si>
    <t>124-38-9</t>
  </si>
  <si>
    <t>9-23-36</t>
  </si>
  <si>
    <t>Schwefelkohlenstoff</t>
  </si>
  <si>
    <t>75-15-0</t>
  </si>
  <si>
    <t>11-36/38-48/23-62-63</t>
  </si>
  <si>
    <t>16-33-36/37-45</t>
  </si>
  <si>
    <r>
      <t>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3, 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3, H</t>
    </r>
  </si>
  <si>
    <r>
      <t xml:space="preserve">Xn R48/20: 0,2%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1%</t>
    </r>
  </si>
  <si>
    <t>Kohlenstoffmonooxid</t>
  </si>
  <si>
    <t>630-08-0</t>
  </si>
  <si>
    <t>61-12-23-48/23</t>
  </si>
  <si>
    <r>
      <t>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1</t>
    </r>
  </si>
  <si>
    <t>-S, -w, oL , ESP</t>
  </si>
  <si>
    <r>
      <t xml:space="preserve">T, R 61: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0,5 %</t>
    </r>
  </si>
  <si>
    <t>Kolophonium</t>
  </si>
  <si>
    <t>8050-09-7</t>
  </si>
  <si>
    <t xml:space="preserve">Kongorot </t>
  </si>
  <si>
    <t>Direct Red 28 </t>
  </si>
  <si>
    <t>573-58-0</t>
  </si>
  <si>
    <t>45-63</t>
  </si>
  <si>
    <r>
      <t>K 2,   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 3 </t>
    </r>
  </si>
  <si>
    <r>
      <t>o</t>
    </r>
    <r>
      <rPr>
        <sz val="10"/>
        <rFont val="Arial"/>
        <family val="2"/>
      </rPr>
      <t>-Kresol</t>
    </r>
  </si>
  <si>
    <t>95-48-7</t>
  </si>
  <si>
    <t>24/25-34</t>
  </si>
  <si>
    <r>
      <t>m</t>
    </r>
    <r>
      <rPr>
        <sz val="10"/>
        <rFont val="Arial"/>
        <family val="2"/>
      </rPr>
      <t>-Kresol</t>
    </r>
  </si>
  <si>
    <t>108-39-4</t>
  </si>
  <si>
    <r>
      <t xml:space="preserve">Xn(R21/22-36/38): 1 %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 w &lt; 5%</t>
    </r>
  </si>
  <si>
    <r>
      <t>p</t>
    </r>
    <r>
      <rPr>
        <sz val="10"/>
        <rFont val="Arial"/>
        <family val="2"/>
      </rPr>
      <t>-Kresol</t>
    </r>
  </si>
  <si>
    <t>106-44-5</t>
  </si>
  <si>
    <r>
      <t xml:space="preserve">Xn (R21/22-36/38): 1% </t>
    </r>
    <r>
      <rPr>
        <u val="single"/>
        <sz val="10"/>
        <rFont val="Arial"/>
        <family val="2"/>
      </rPr>
      <t xml:space="preserve">&lt; </t>
    </r>
    <r>
      <rPr>
        <sz val="10"/>
        <rFont val="Arial"/>
        <family val="2"/>
      </rPr>
      <t>w &lt; 5%</t>
    </r>
  </si>
  <si>
    <t>Kresolrot</t>
  </si>
  <si>
    <t>1733-12-6</t>
  </si>
  <si>
    <t>Kupfer(I)-chlorid</t>
  </si>
  <si>
    <t>7758-89-6</t>
  </si>
  <si>
    <t>22-50/53</t>
  </si>
  <si>
    <t>Kupfer(I)-iodid</t>
  </si>
  <si>
    <t>Ajay SQM</t>
  </si>
  <si>
    <t>7681-65-4</t>
  </si>
  <si>
    <t>22-37-41-50/53</t>
  </si>
  <si>
    <t>22-26-36/37/39-57-60-61</t>
  </si>
  <si>
    <t>Kupfer(I)-oxid</t>
  </si>
  <si>
    <t>Dikupferoxid</t>
  </si>
  <si>
    <t>1317-39-1</t>
  </si>
  <si>
    <t>Kupfer(II)-acetat Monohydrat</t>
  </si>
  <si>
    <t>6046-93-1</t>
  </si>
  <si>
    <r>
      <t xml:space="preserve">Xn: w </t>
    </r>
    <r>
      <rPr>
        <u val="single"/>
        <sz val="10"/>
        <rFont val="Arial"/>
        <family val="2"/>
      </rPr>
      <t xml:space="preserve">&gt; </t>
    </r>
    <r>
      <rPr>
        <sz val="10"/>
        <rFont val="Arial"/>
        <family val="2"/>
      </rPr>
      <t>25%</t>
    </r>
  </si>
  <si>
    <t>Kupfer(II)-bromid</t>
  </si>
  <si>
    <t>7789-45-9</t>
  </si>
  <si>
    <t>22-34-50/53</t>
  </si>
  <si>
    <t>Kupfer(II)-chlorid</t>
  </si>
  <si>
    <t>7447-39-4</t>
  </si>
  <si>
    <t>22-26-61</t>
  </si>
  <si>
    <t>Kupfer(II)-chlorid Dihydrat</t>
  </si>
  <si>
    <t>10125-13-0</t>
  </si>
  <si>
    <t>Kupfer(II)-hydroxid-carbonat</t>
  </si>
  <si>
    <t xml:space="preserve">Kupfercarbonat, basisch </t>
  </si>
  <si>
    <t>(Goldschmidt)</t>
  </si>
  <si>
    <t>12069-69-1</t>
  </si>
  <si>
    <t>Kupfer(II)-nitrat Trihydrat</t>
  </si>
  <si>
    <t>10031-43-3</t>
  </si>
  <si>
    <t>8-22-36/38</t>
  </si>
  <si>
    <t>17-24/25</t>
  </si>
  <si>
    <t>Kupfer(II)-oxid</t>
  </si>
  <si>
    <t>1317-38-0</t>
  </si>
  <si>
    <t>Xn,N</t>
  </si>
  <si>
    <t>22-61</t>
  </si>
  <si>
    <r>
      <t xml:space="preserve">Xn: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25 % </t>
    </r>
  </si>
  <si>
    <t>Kupfer(II)-sulfat</t>
  </si>
  <si>
    <t>7758-98-7</t>
  </si>
  <si>
    <t>Kupfer(II)-sulfat Pentahydrat</t>
  </si>
  <si>
    <t>Kupfer</t>
  </si>
  <si>
    <t>7440-50-8</t>
  </si>
  <si>
    <t>Kupferron</t>
  </si>
  <si>
    <t>(Alfa Aesar)</t>
  </si>
  <si>
    <t>135-20-6</t>
  </si>
  <si>
    <t>25-36/37/38-40-68</t>
  </si>
  <si>
    <t>20-26-36/37-45-60</t>
  </si>
  <si>
    <t>Lackmus</t>
  </si>
  <si>
    <t>1393-92-6</t>
  </si>
  <si>
    <t>10039-26-6</t>
  </si>
  <si>
    <t>Lanolin</t>
  </si>
  <si>
    <t>Wollfett</t>
  </si>
  <si>
    <t>8006-54-0</t>
  </si>
  <si>
    <t>Laurinsäure</t>
  </si>
  <si>
    <t>Dodecansäure (Merck)</t>
  </si>
  <si>
    <t>143-07-7</t>
  </si>
  <si>
    <t>L-Leucin</t>
  </si>
  <si>
    <t>61-90-5</t>
  </si>
  <si>
    <t>Lithium</t>
  </si>
  <si>
    <t>7439-93-2</t>
  </si>
  <si>
    <t>8-43-45</t>
  </si>
  <si>
    <t>Lithiumaluminiumhydrid</t>
  </si>
  <si>
    <t>Lithiumalanat</t>
  </si>
  <si>
    <t>16853-85-3</t>
  </si>
  <si>
    <t>7/8-26-36/37/39-43-45</t>
  </si>
  <si>
    <t>Lithiumbromid</t>
  </si>
  <si>
    <t>7550-35-8</t>
  </si>
  <si>
    <t>Lithiumcarbonat</t>
  </si>
  <si>
    <t>554-13-2</t>
  </si>
  <si>
    <t>16712-20-2</t>
  </si>
  <si>
    <r>
      <t xml:space="preserve">Xi: 1 %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5 %</t>
    </r>
  </si>
  <si>
    <t>1,1-Dichlorethen</t>
  </si>
  <si>
    <t>75-35-4</t>
  </si>
  <si>
    <t>12-20-40</t>
  </si>
  <si>
    <t>7-16-29-36/37-46</t>
  </si>
  <si>
    <r>
      <t xml:space="preserve">Xn R 40: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1%</t>
    </r>
  </si>
  <si>
    <t>1,2-Dichlorethen</t>
  </si>
  <si>
    <t>156-60-5</t>
  </si>
  <si>
    <t>11-20-52/53</t>
  </si>
  <si>
    <t>7-16-29-61</t>
  </si>
  <si>
    <r>
      <t xml:space="preserve">Xn: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12,5%</t>
    </r>
  </si>
  <si>
    <t>´- S 9.  Klasse, ESP</t>
  </si>
  <si>
    <t>´- S 4. Klasse, ESP</t>
  </si>
  <si>
    <t>´- S 9. Klasse, ESP</t>
  </si>
  <si>
    <t>´- S 4. Klasse</t>
  </si>
  <si>
    <t xml:space="preserve">´- S 4. Klasse, ESP </t>
  </si>
  <si>
    <t>´- S, ESP</t>
  </si>
  <si>
    <t>1309-42-8</t>
  </si>
  <si>
    <t>Magnesiumiodid</t>
  </si>
  <si>
    <t>10377-58-9</t>
  </si>
  <si>
    <t>Magnesiumnitrat Hexahydrat</t>
  </si>
  <si>
    <t>13446-18-9</t>
  </si>
  <si>
    <t>Magnesiumoxid</t>
  </si>
  <si>
    <t>1309-48-4</t>
  </si>
  <si>
    <t>Magnesiumperchlorat Dihydrat</t>
  </si>
  <si>
    <t>18716-62-6</t>
  </si>
  <si>
    <t>8-36/37/38</t>
  </si>
  <si>
    <t>17-26-37/39</t>
  </si>
  <si>
    <t>Magnesiumphosphid</t>
  </si>
  <si>
    <t>12057-74-8</t>
  </si>
  <si>
    <t>22-28-43-45-61</t>
  </si>
  <si>
    <r>
      <t xml:space="preserve">Xn: 0,1 %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1 % </t>
    </r>
  </si>
  <si>
    <t>Späne nach GRIGNARD</t>
  </si>
  <si>
    <t>Magnesiumsulfat Heptahydrat</t>
  </si>
  <si>
    <t>10034-99-8</t>
  </si>
  <si>
    <t>Malachitgrün-Oxalat</t>
  </si>
  <si>
    <t>C.I. 42000 (Merck)</t>
  </si>
  <si>
    <t>2437-29-8</t>
  </si>
  <si>
    <t>22-41-50/53-63</t>
  </si>
  <si>
    <t>26-36/37-39-46-60-61</t>
  </si>
  <si>
    <r>
      <t>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3 </t>
    </r>
  </si>
  <si>
    <r>
      <t xml:space="preserve">Xn R 63: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5%</t>
    </r>
  </si>
  <si>
    <t>Maleinsäure</t>
  </si>
  <si>
    <t>110-16-7</t>
  </si>
  <si>
    <t>22-36/37/38-43</t>
  </si>
  <si>
    <t>24-26-28-37-46</t>
  </si>
  <si>
    <t>Maleinsäureanhydrid</t>
  </si>
  <si>
    <t>108-31-6</t>
  </si>
  <si>
    <t>34-42/43</t>
  </si>
  <si>
    <t>Malonsäure</t>
  </si>
  <si>
    <t>Propandisäure</t>
  </si>
  <si>
    <t>(Degussa)</t>
  </si>
  <si>
    <t>141-82-2</t>
  </si>
  <si>
    <t>26-28-37/39</t>
  </si>
  <si>
    <t>6363-53-7</t>
  </si>
  <si>
    <t>Mangan</t>
  </si>
  <si>
    <t>Gepulvert</t>
  </si>
  <si>
    <t>7439-96-5</t>
  </si>
  <si>
    <t>Mangan(II)-chlorid</t>
  </si>
  <si>
    <t>7773-01-5</t>
  </si>
  <si>
    <t>Mangan(II)-chlorid Monohydrat</t>
  </si>
  <si>
    <t>64333-01-3</t>
  </si>
  <si>
    <t>Mangan(II)-chlorid Tetrahydrat</t>
  </si>
  <si>
    <t>13446-34-9</t>
  </si>
  <si>
    <t>Mangan(II)-nitrat Tetrahydrat</t>
  </si>
  <si>
    <t>20694-39-7</t>
  </si>
  <si>
    <t>Mangan(IV)-oxid</t>
  </si>
  <si>
    <t>Braunstein</t>
  </si>
  <si>
    <t>1313-13-9</t>
  </si>
  <si>
    <t xml:space="preserve">Mangan(II)-carbonat </t>
  </si>
  <si>
    <t>34156-69-9</t>
  </si>
  <si>
    <t>Mangan(II)-sulfat</t>
  </si>
  <si>
    <t>7785-87-7</t>
  </si>
  <si>
    <t>48/20/22-51/53</t>
  </si>
  <si>
    <r>
      <t xml:space="preserve">Xn: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10%</t>
    </r>
  </si>
  <si>
    <t>D(-)-Mannit</t>
  </si>
  <si>
    <t>69-65-8</t>
  </si>
  <si>
    <t>MAY-GRÜNWALDs Eosin-Methylen­blaulösung</t>
  </si>
  <si>
    <t>modifiziert, enthält Methanol</t>
  </si>
  <si>
    <t>11-23/24/25-39/23/24/25</t>
  </si>
  <si>
    <t>MAY-GRÜNWALDs Eosin-Methylenblau</t>
  </si>
  <si>
    <t>Melamin</t>
  </si>
  <si>
    <t>108-78-1</t>
  </si>
  <si>
    <t>(+)-Menthol</t>
  </si>
  <si>
    <t>15356-60-2</t>
  </si>
  <si>
    <t>Metaldehyd</t>
  </si>
  <si>
    <t>108-62-3</t>
  </si>
  <si>
    <t>11-22</t>
  </si>
  <si>
    <t>13-16-25-46</t>
  </si>
  <si>
    <t>Methacrylsäure</t>
  </si>
  <si>
    <t>Isobutensäure</t>
  </si>
  <si>
    <t>79-41-4</t>
  </si>
  <si>
    <t>21/22-35</t>
  </si>
  <si>
    <r>
      <t xml:space="preserve">Xi, R 36/37/39: 1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5%</t>
    </r>
  </si>
  <si>
    <t>Methan</t>
  </si>
  <si>
    <t>74-82-8</t>
  </si>
  <si>
    <t>Methanal</t>
  </si>
  <si>
    <t>Methanol</t>
  </si>
  <si>
    <t>11-23/24/ 25-39/23/ 24/25</t>
  </si>
  <si>
    <t>108-65-6</t>
  </si>
  <si>
    <t>2-Methoxyanilin</t>
  </si>
  <si>
    <r>
      <t>o</t>
    </r>
    <r>
      <rPr>
        <sz val="10"/>
        <rFont val="Arial"/>
        <family val="2"/>
      </rPr>
      <t>-Anisidin</t>
    </r>
  </si>
  <si>
    <t>90-04-0</t>
  </si>
  <si>
    <t>45-23/24/25-68</t>
  </si>
  <si>
    <t>3-Methoxyanilin</t>
  </si>
  <si>
    <r>
      <t>m</t>
    </r>
    <r>
      <rPr>
        <sz val="10"/>
        <rFont val="Arial"/>
        <family val="2"/>
      </rPr>
      <t>-Anisidin (Alfa Aesar)</t>
    </r>
  </si>
  <si>
    <t>536-90-3</t>
  </si>
  <si>
    <t>22-36/37/38-42/43</t>
  </si>
  <si>
    <t>22-24-26-37-45</t>
  </si>
  <si>
    <t>4-Methoxyanilin</t>
  </si>
  <si>
    <r>
      <t>p</t>
    </r>
    <r>
      <rPr>
        <sz val="10"/>
        <rFont val="Arial"/>
        <family val="2"/>
      </rPr>
      <t>-Anisidin</t>
    </r>
  </si>
  <si>
    <t>104-94-9</t>
  </si>
  <si>
    <t>26/27/28-33-50</t>
  </si>
  <si>
    <t xml:space="preserve">- S, ESP </t>
  </si>
  <si>
    <t>123-11-5</t>
  </si>
  <si>
    <t>Essigsäure-2-methoxy-ethylester</t>
  </si>
  <si>
    <t>110-49-6</t>
  </si>
  <si>
    <t>60-61-20/21/22</t>
  </si>
  <si>
    <t>2-Methylbutan-1-ol</t>
  </si>
  <si>
    <t>Isopentylalkohol</t>
  </si>
  <si>
    <t>137-32-6</t>
  </si>
  <si>
    <t>10-20-37-66</t>
  </si>
  <si>
    <t>2-Methylbutan-2-ol</t>
  </si>
  <si>
    <t>75-85-4</t>
  </si>
  <si>
    <t>11-20-37/38</t>
  </si>
  <si>
    <t>11-20-36/37</t>
  </si>
  <si>
    <t>9-16-46</t>
  </si>
  <si>
    <t>3-Methyl-2-benzo­thiazolinon-hydrazon-hydrochlorid</t>
  </si>
  <si>
    <t>MBTH</t>
  </si>
  <si>
    <t>144448-67-0</t>
  </si>
  <si>
    <t>25-36</t>
  </si>
  <si>
    <t>3-Methylbutan-1-ol</t>
  </si>
  <si>
    <t>123-51-3</t>
  </si>
  <si>
    <t>Methylacetat</t>
  </si>
  <si>
    <t>79-20-9</t>
  </si>
  <si>
    <t>Methylacrylat</t>
  </si>
  <si>
    <t>Acrylsäuremethylester</t>
  </si>
  <si>
    <t>96-33-3</t>
  </si>
  <si>
    <t>9-25-26-33-36/37-43</t>
  </si>
  <si>
    <t>Methylamin</t>
  </si>
  <si>
    <t>74-89-5</t>
  </si>
  <si>
    <t>12-20-37/38-41</t>
  </si>
  <si>
    <t>=1=</t>
  </si>
  <si>
    <r>
      <t xml:space="preserve">Xi R36: 0,5 %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5 %</t>
    </r>
  </si>
  <si>
    <t>593-51-1</t>
  </si>
  <si>
    <r>
      <t>N</t>
    </r>
    <r>
      <rPr>
        <sz val="10"/>
        <rFont val="Arial"/>
        <family val="2"/>
      </rPr>
      <t>-Methylanilin</t>
    </r>
  </si>
  <si>
    <t>100-61-8</t>
  </si>
  <si>
    <t>104-87-0</t>
  </si>
  <si>
    <t>26/27</t>
  </si>
  <si>
    <t>Methylbenzoat</t>
  </si>
  <si>
    <t>Benzoesäuremethyl-ester</t>
  </si>
  <si>
    <t>93-58-3</t>
  </si>
  <si>
    <t>2-Methylbuta-1,3-dien</t>
  </si>
  <si>
    <t>Isopren</t>
  </si>
  <si>
    <t>78-79-5</t>
  </si>
  <si>
    <t>45-12-52/53-68</t>
  </si>
  <si>
    <t>K2, M3</t>
  </si>
  <si>
    <t>2-Methylbutan</t>
  </si>
  <si>
    <t>Isopentan</t>
  </si>
  <si>
    <t>78-78-4</t>
  </si>
  <si>
    <t>F+, Xn, N</t>
  </si>
  <si>
    <t>12-51/53-65-66-67</t>
  </si>
  <si>
    <t>9-16-29-33-61-62</t>
  </si>
  <si>
    <t>Isovaleriansäure (Merck)</t>
  </si>
  <si>
    <t>503-74-2</t>
  </si>
  <si>
    <t>Methylenblau</t>
  </si>
  <si>
    <t>C.I. 52015 (Acros Organics)</t>
  </si>
  <si>
    <t>61-73-4</t>
  </si>
  <si>
    <t>Methylformiat</t>
  </si>
  <si>
    <t>107-31-3</t>
  </si>
  <si>
    <t>12-20/22-36/37</t>
  </si>
  <si>
    <t>Methylglykol</t>
  </si>
  <si>
    <t>109-86-4</t>
  </si>
  <si>
    <t xml:space="preserve">Methylgrün </t>
  </si>
  <si>
    <t xml:space="preserve">Zinkchlorid </t>
  </si>
  <si>
    <t>Doppelsalz</t>
  </si>
  <si>
    <t>C.I. 42590 (Merck)</t>
  </si>
  <si>
    <t>7114-03-6</t>
  </si>
  <si>
    <r>
      <t xml:space="preserve">Xi : 5 %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10 %</t>
    </r>
  </si>
  <si>
    <t>Methylmethacrylat</t>
  </si>
  <si>
    <t>80-62-6</t>
  </si>
  <si>
    <t>11-37/38-43</t>
  </si>
  <si>
    <t>24-37-46</t>
  </si>
  <si>
    <r>
      <t xml:space="preserve">Xi R43: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1%</t>
    </r>
  </si>
  <si>
    <t>Methyl-1-naphthylketon</t>
  </si>
  <si>
    <t>1-Acetylnaphthalin (Merck)</t>
  </si>
  <si>
    <t>Methyl-2-naphthylketon</t>
  </si>
  <si>
    <t>2-Acetylnaphthalin (Merck)</t>
  </si>
  <si>
    <t>93-08-3</t>
  </si>
  <si>
    <t>Methylorange</t>
  </si>
  <si>
    <t>C.I. 13025 (Merck)</t>
  </si>
  <si>
    <t>547-58-0</t>
  </si>
  <si>
    <t>37-45</t>
  </si>
  <si>
    <t xml:space="preserve">- S 4. </t>
  </si>
  <si>
    <t>Klasse, ESP</t>
  </si>
  <si>
    <t>0,1 %ige wässrige Lösung (AppliChem)</t>
  </si>
  <si>
    <t>4-Methylpentan-2-on</t>
  </si>
  <si>
    <t xml:space="preserve">enthält max 1 % Benzol und 3 % Methanol </t>
  </si>
  <si>
    <t>F+, T, N</t>
  </si>
  <si>
    <t>12-45-46, 38-48/20/21/22-63-65-67-51/53</t>
  </si>
  <si>
    <t>16-23-24-29-36/37-45-53-61-62</t>
  </si>
  <si>
    <t>- S, -w, ESP</t>
  </si>
  <si>
    <t>Benzo(a)pyren</t>
  </si>
  <si>
    <t>50-32-8</t>
  </si>
  <si>
    <t>45-46-60-61-43-50/53</t>
  </si>
  <si>
    <r>
      <t>K2, M2 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2, 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2, H</t>
    </r>
  </si>
  <si>
    <r>
      <t>p</t>
    </r>
    <r>
      <rPr>
        <sz val="10"/>
        <rFont val="Arial"/>
        <family val="2"/>
      </rPr>
      <t>-Benzochinon</t>
    </r>
  </si>
  <si>
    <r>
      <t>p</t>
    </r>
    <r>
      <rPr>
        <sz val="10"/>
        <rFont val="Arial"/>
        <family val="2"/>
      </rPr>
      <t>-Chinon</t>
    </r>
  </si>
  <si>
    <t>106-51-4</t>
  </si>
  <si>
    <t>23/25-36/37/38-50</t>
  </si>
  <si>
    <t>26-28-45-61</t>
  </si>
  <si>
    <t>Benzoesäure</t>
  </si>
  <si>
    <t>65-85-0</t>
  </si>
  <si>
    <t>Benzoin</t>
  </si>
  <si>
    <t>119-53-9</t>
  </si>
  <si>
    <t>Benzol</t>
  </si>
  <si>
    <t>71-43-2</t>
  </si>
  <si>
    <t>45-46-11-36/38-48/23/24/25-65</t>
  </si>
  <si>
    <t>K1, M2, H</t>
  </si>
  <si>
    <t>Benzolsulfonsäure</t>
  </si>
  <si>
    <t>98-11-3</t>
  </si>
  <si>
    <t>Benzonitril</t>
  </si>
  <si>
    <t>100-47-0</t>
  </si>
  <si>
    <t>Benzophenon</t>
  </si>
  <si>
    <t>119-61-9</t>
  </si>
  <si>
    <t>Xi, N</t>
  </si>
  <si>
    <t>36/37/38-50/53</t>
  </si>
  <si>
    <t>26-29-37/39-61</t>
  </si>
  <si>
    <t>1-Benzopyran-2-on</t>
  </si>
  <si>
    <t>Cumarin (Merck)</t>
  </si>
  <si>
    <t>91-64-5</t>
  </si>
  <si>
    <t>Benzoylaceton</t>
  </si>
  <si>
    <t>93-91-4</t>
  </si>
  <si>
    <t>Benzoylchlorid</t>
  </si>
  <si>
    <t>98-88-4</t>
  </si>
  <si>
    <t>20/21/22-34-43</t>
  </si>
  <si>
    <t>100-51-6</t>
  </si>
  <si>
    <t>Benzylamin</t>
  </si>
  <si>
    <t xml:space="preserve">Phenylmethylamin </t>
  </si>
  <si>
    <t>100-46-9</t>
  </si>
  <si>
    <t>21/22-34</t>
  </si>
  <si>
    <t>Benzylbenzoat</t>
  </si>
  <si>
    <t>120-51-4</t>
  </si>
  <si>
    <t>Benzylcyanid</t>
  </si>
  <si>
    <t>Phenylacetonitril (Merck)</t>
  </si>
  <si>
    <t>140-29-4</t>
  </si>
  <si>
    <t>22-24-26</t>
  </si>
  <si>
    <t>28-36/37-45</t>
  </si>
  <si>
    <t>Benzolsulfonsäure-4-azo-4'-(N-benzylanilin)</t>
  </si>
  <si>
    <t>589-02-6</t>
  </si>
  <si>
    <t>Riedel de Haen</t>
  </si>
  <si>
    <t>56-37-1</t>
  </si>
  <si>
    <t>26/36</t>
  </si>
  <si>
    <t>Bernsteinsäure</t>
  </si>
  <si>
    <t>110-15-6</t>
  </si>
  <si>
    <t>Bernsteinsäureanhydrid</t>
  </si>
  <si>
    <t>108-30-5</t>
  </si>
  <si>
    <t>45-48</t>
  </si>
  <si>
    <r>
      <t xml:space="preserve">Xi: 5 % &gt;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1%</t>
    </r>
  </si>
  <si>
    <t>Beryllium</t>
  </si>
  <si>
    <t>7440-41-7</t>
  </si>
  <si>
    <t>49-25-26-36/37/38-43-48/23</t>
  </si>
  <si>
    <t xml:space="preserve">-S, -w, ESP </t>
  </si>
  <si>
    <t>(+)-Biotin (D-Biotin)</t>
  </si>
  <si>
    <t>Vitamin H (BASF)</t>
  </si>
  <si>
    <t>58-85-5</t>
  </si>
  <si>
    <t>Biphenyl</t>
  </si>
  <si>
    <t>Diphenyl</t>
  </si>
  <si>
    <t>92-52-4</t>
  </si>
  <si>
    <t>23-60-61</t>
  </si>
  <si>
    <t>2,2’-Bipyridyl</t>
  </si>
  <si>
    <t>366-18-7</t>
  </si>
  <si>
    <t>21/25</t>
  </si>
  <si>
    <t>22-36/37-45</t>
  </si>
  <si>
    <t>- S 4. Klasse ESP</t>
  </si>
  <si>
    <t>Bis-(2-ethylhexyl)-phthalat</t>
  </si>
  <si>
    <t>117-81-7</t>
  </si>
  <si>
    <t>60-61</t>
  </si>
  <si>
    <r>
      <t>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2, 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2, H</t>
    </r>
  </si>
  <si>
    <t xml:space="preserve">- S, -w, oL, ESP </t>
  </si>
  <si>
    <t>Bismut</t>
  </si>
  <si>
    <t>Wismut, Pulver</t>
  </si>
  <si>
    <t>(Sigma-Aldrich-Gruppe)</t>
  </si>
  <si>
    <t>7440-69-9</t>
  </si>
  <si>
    <t>Bismut(III)-chlorid</t>
  </si>
  <si>
    <t>7787-60-2</t>
  </si>
  <si>
    <t>Bismut(III)-oxid</t>
  </si>
  <si>
    <t>1304-76-3</t>
  </si>
  <si>
    <t xml:space="preserve">Bismut(III)-nitrat </t>
  </si>
  <si>
    <t>1304-85-4</t>
  </si>
  <si>
    <t>Blei</t>
  </si>
  <si>
    <t>Pulver oder gekörnt</t>
  </si>
  <si>
    <t>7439-92-1</t>
  </si>
  <si>
    <t>61-20/22-33-50/53-62</t>
  </si>
  <si>
    <r>
      <t>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1, 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3</t>
    </r>
  </si>
  <si>
    <t>-S, -w , oL, ESP</t>
  </si>
  <si>
    <t>0,15 E</t>
  </si>
  <si>
    <t>Blei(II)-acetat</t>
  </si>
  <si>
    <t>301-04-2</t>
  </si>
  <si>
    <t>61-33-48/22-50/53-62</t>
  </si>
  <si>
    <r>
      <t>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1, 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3</t>
    </r>
  </si>
  <si>
    <t xml:space="preserve">-S, -w, oL, ESP </t>
  </si>
  <si>
    <t>1335-32-6</t>
  </si>
  <si>
    <t>61-33-40-48/22-50/53-62</t>
  </si>
  <si>
    <r>
      <t>K3, 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1, 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3</t>
    </r>
  </si>
  <si>
    <t xml:space="preserve">Blei(II)-acetat </t>
  </si>
  <si>
    <t>Trihydrat</t>
  </si>
  <si>
    <t>6080-56-4</t>
  </si>
  <si>
    <t>Blei(II)-azid</t>
  </si>
  <si>
    <t>13424-46-9</t>
  </si>
  <si>
    <t>E, T, N</t>
  </si>
  <si>
    <t>61-3-20/22-33-50/53-62</t>
  </si>
  <si>
    <t>Blei(II)-bromid</t>
  </si>
  <si>
    <t>10031-22-8</t>
  </si>
  <si>
    <t>Blei(II)-chlorid</t>
  </si>
  <si>
    <t>7758-95-4</t>
  </si>
  <si>
    <r>
      <t>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1, 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 xml:space="preserve">3, </t>
    </r>
  </si>
  <si>
    <t>Blei(II)-chromat</t>
  </si>
  <si>
    <t>Chromgelb</t>
  </si>
  <si>
    <t>7758-97-6</t>
  </si>
  <si>
    <t>61-33-40-50/53-62</t>
  </si>
  <si>
    <t>Bleicarbonat, basisch</t>
  </si>
  <si>
    <t>1319-46-6</t>
  </si>
  <si>
    <t>Blei(II)-iodid</t>
  </si>
  <si>
    <t>10101-63-0</t>
  </si>
  <si>
    <t>Blei(II)-nitrat</t>
  </si>
  <si>
    <t>10099-74-8</t>
  </si>
  <si>
    <t>Blei(II)-oxid</t>
  </si>
  <si>
    <t>1317-36-8</t>
  </si>
  <si>
    <t>Blei(II)-sulfat</t>
  </si>
  <si>
    <t>7446-14-2</t>
  </si>
  <si>
    <t>Blei(II)-sulfit</t>
  </si>
  <si>
    <t>1314-87-0</t>
  </si>
  <si>
    <t>T,N</t>
  </si>
  <si>
    <t>Blei(II,IV)-oxid</t>
  </si>
  <si>
    <t>1314-41-6</t>
  </si>
  <si>
    <t>Blei(IV)-oxid</t>
  </si>
  <si>
    <t>1309-60-0</t>
  </si>
  <si>
    <t>Bleitetraethyl</t>
  </si>
  <si>
    <t>78-00-2</t>
  </si>
  <si>
    <t>T+, N</t>
  </si>
  <si>
    <t>61-26/27/28-33-50/53-62</t>
  </si>
  <si>
    <t>Blut-Agar</t>
  </si>
  <si>
    <t>Bor</t>
  </si>
  <si>
    <t>7440-42-8</t>
  </si>
  <si>
    <t xml:space="preserve">+ </t>
  </si>
  <si>
    <t xml:space="preserve">Borax-Karmin-Lösung nach </t>
  </si>
  <si>
    <t>Grenacher</t>
  </si>
  <si>
    <t>Borax</t>
  </si>
  <si>
    <t>1330-43-4         wasserfrei</t>
  </si>
  <si>
    <t xml:space="preserve">                      1332-28-1         Pentahydrat</t>
  </si>
  <si>
    <t xml:space="preserve">                      1303-96-4         Decahydrat</t>
  </si>
  <si>
    <r>
      <t>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2, 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2</t>
    </r>
  </si>
  <si>
    <t>G 4</t>
  </si>
  <si>
    <t>Bornylacetat</t>
  </si>
  <si>
    <t>Essigsäurebornylester</t>
  </si>
  <si>
    <t>5655-61-8</t>
  </si>
  <si>
    <t>23-24/25</t>
  </si>
  <si>
    <t>Borsäure</t>
  </si>
  <si>
    <t>10043-35-3</t>
  </si>
  <si>
    <t>53/45</t>
  </si>
  <si>
    <t>Bortrioxid</t>
  </si>
  <si>
    <t>Borsäureanhydrid</t>
  </si>
  <si>
    <t>1303-86-2</t>
  </si>
  <si>
    <t>60/61</t>
  </si>
  <si>
    <t>115-41-3</t>
  </si>
  <si>
    <t>127-17-3</t>
  </si>
  <si>
    <t>Brillantgrün</t>
  </si>
  <si>
    <t>C.I. 42040</t>
  </si>
  <si>
    <t>633-03-4</t>
  </si>
  <si>
    <t>Brilliantkresylblau</t>
  </si>
  <si>
    <t>C.I. 51010 (Merck)</t>
  </si>
  <si>
    <t>81029-05-2</t>
  </si>
  <si>
    <t>Brom</t>
  </si>
  <si>
    <t>7726-95-6</t>
  </si>
  <si>
    <t>26-35-50</t>
  </si>
  <si>
    <t>7/9-26-45-61</t>
  </si>
  <si>
    <t>----</t>
  </si>
  <si>
    <r>
      <t xml:space="preserve">T, Xi: 1%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5%</t>
    </r>
  </si>
  <si>
    <t>2-Brombutan</t>
  </si>
  <si>
    <t>78-76-2</t>
  </si>
  <si>
    <t>10-52/53</t>
  </si>
  <si>
    <t>Ethylenbromchlorid</t>
  </si>
  <si>
    <t>(Acros Organics)</t>
  </si>
  <si>
    <t>107-04-0</t>
  </si>
  <si>
    <t>23/24/25-36/37/38-40</t>
  </si>
  <si>
    <t>28-36/37/39-45</t>
  </si>
  <si>
    <t>2025-01-9</t>
  </si>
  <si>
    <t>2-Bromanilin</t>
  </si>
  <si>
    <t>615-36-1</t>
  </si>
  <si>
    <t>23/24/25-33-50/53</t>
  </si>
  <si>
    <t>28-36/37-45-61</t>
  </si>
  <si>
    <t>Brombenzol</t>
  </si>
  <si>
    <t>108-86-1</t>
  </si>
  <si>
    <t>10-38-51/53</t>
  </si>
  <si>
    <t>1-Brombutan</t>
  </si>
  <si>
    <t>Butylbromid (Merck)</t>
  </si>
  <si>
    <t>109-65-9</t>
  </si>
  <si>
    <t>F, Xi, N</t>
  </si>
  <si>
    <t>11-36/37/38-51/53</t>
  </si>
  <si>
    <t>16-26-61</t>
  </si>
  <si>
    <t>sek-Butylbromid (Merck)</t>
  </si>
  <si>
    <t>Bromethan</t>
  </si>
  <si>
    <t>Ethylbromid</t>
  </si>
  <si>
    <t>74-96-4</t>
  </si>
  <si>
    <t>11-20/22-40</t>
  </si>
  <si>
    <t>K2, H</t>
  </si>
  <si>
    <t>Bromethansäure</t>
  </si>
  <si>
    <t>Bromessigsäure</t>
  </si>
  <si>
    <t>79-08-3</t>
  </si>
  <si>
    <t>T, C, N</t>
  </si>
  <si>
    <t>23/24/25-35-43-50</t>
  </si>
  <si>
    <r>
      <t xml:space="preserve">Xn, Xi: 1%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5%</t>
    </r>
  </si>
  <si>
    <t>1-Bromhexan</t>
  </si>
  <si>
    <t>111-25-1</t>
  </si>
  <si>
    <t>25-61</t>
  </si>
  <si>
    <t>2-Bromhexan</t>
  </si>
  <si>
    <t>3377-86-4</t>
  </si>
  <si>
    <t>Bromkresolgrün</t>
  </si>
  <si>
    <t>76-60-8</t>
  </si>
  <si>
    <t>62625-32-5</t>
  </si>
  <si>
    <t>Bromkresolpurpur</t>
  </si>
  <si>
    <t>115-40-2</t>
  </si>
  <si>
    <t>Brommethan</t>
  </si>
  <si>
    <t>Methyl­bromid</t>
  </si>
  <si>
    <t>74-83-9</t>
  </si>
  <si>
    <t>23/25-36/37/38-68-48/20-50/59</t>
  </si>
  <si>
    <t>15-27-36/39-38-45-59-61</t>
  </si>
  <si>
    <t>Adipinsäuredichlorid</t>
  </si>
  <si>
    <t>Aluminiumhydroxidacetat</t>
  </si>
  <si>
    <t>2-Aminobenzoesäure</t>
  </si>
  <si>
    <t>4-Aminobenzoesäure</t>
  </si>
  <si>
    <t>4-Aminobenzoesäureethyl-
ester</t>
  </si>
  <si>
    <t>4-Aminobenzolsulfon-
säure</t>
  </si>
  <si>
    <t>6-Aminohexansäure</t>
  </si>
  <si>
    <t xml:space="preserve">Ammoniumaluminium-
sulfat </t>
  </si>
  <si>
    <t xml:space="preserve">Ammoniumeisen­(II)­sulfat </t>
  </si>
  <si>
    <t>Ammoniumhydrogen-
carbonat</t>
  </si>
  <si>
    <r>
      <t>a,a</t>
    </r>
    <r>
      <rPr>
        <sz val="10"/>
        <rFont val="Arial"/>
        <family val="2"/>
      </rPr>
      <t>-Azodiisobutyrodinitril</t>
    </r>
  </si>
  <si>
    <t>Benzylorange Kaliumsalz</t>
  </si>
  <si>
    <t>Benzyltriethylammonium-
chlorid</t>
  </si>
  <si>
    <t>Blei(II)-acetat Basisch</t>
  </si>
  <si>
    <t>Blei(II)-hydroxidcarbonat</t>
  </si>
  <si>
    <t>Brenzcatechinviolett</t>
  </si>
  <si>
    <t>1-Brom-2-chlorethan</t>
  </si>
  <si>
    <t>2-Brom-2-methylpropansäure</t>
  </si>
  <si>
    <t>2-Brom-2-methylpropan</t>
  </si>
  <si>
    <t>tert.-Butylmethylether</t>
  </si>
  <si>
    <t>Carbol-Gentianaviolett-Lösung</t>
  </si>
  <si>
    <t>1-Chlor-2,3-epoxypropan</t>
  </si>
  <si>
    <t>2-Chlor-2-methylpropan</t>
  </si>
  <si>
    <t>1-Chlor-2,4-dinitrobenzol</t>
  </si>
  <si>
    <t>Chromschwefelsäure</t>
  </si>
  <si>
    <r>
      <t>cis-</t>
    </r>
    <r>
      <rPr>
        <sz val="10"/>
        <rFont val="Arial"/>
        <family val="2"/>
      </rPr>
      <t>Decahydronaphthalin</t>
    </r>
  </si>
  <si>
    <t>Dichlordimethylsilan</t>
  </si>
  <si>
    <t>2-Diethylaminoethanol</t>
  </si>
  <si>
    <t>1,2-Dihydroxybenzol</t>
  </si>
  <si>
    <t>1,3-Dihydroxybenzol</t>
  </si>
  <si>
    <t xml:space="preserve">1,4-Dihydroxybenzol </t>
  </si>
  <si>
    <t>1,3-Diisocyanattoluol</t>
  </si>
  <si>
    <t>2,4-Diisocyanattoluol</t>
  </si>
  <si>
    <t>2,6-Diisocyanattoluol</t>
  </si>
  <si>
    <t>3,3-Dimethoxybenzidin</t>
  </si>
  <si>
    <t>N,N-Dimethylacetamid</t>
  </si>
  <si>
    <t>4-Dimethylaminobenz-
aldehyd</t>
  </si>
  <si>
    <t>5-Dimethylamino-
naphthalin-1-sulfochlorid</t>
  </si>
  <si>
    <t>N,N-Dimethylformamid</t>
  </si>
  <si>
    <t>2,4-Dinitrophenylhydrazin</t>
  </si>
  <si>
    <t>1,5-Dinitronaphthalin</t>
  </si>
  <si>
    <t>3,5-Dinitrosalicylsäure</t>
  </si>
  <si>
    <t>1,5-Diphenylcarbazid</t>
  </si>
  <si>
    <t>N,N’-Diphenylthioharnstoff</t>
  </si>
  <si>
    <t>Eosin-Haematoxylin-Lösung</t>
  </si>
  <si>
    <t>Ethyl-3-hydroxybenzoat</t>
  </si>
  <si>
    <t>Ethyl-4-hydroxybenzoat</t>
  </si>
  <si>
    <t>Ethylaminhydrochlorid</t>
  </si>
  <si>
    <t>4-Hydroxybenzoesäure-
methylester</t>
  </si>
  <si>
    <t>Hydrazindihydrochlorid</t>
  </si>
  <si>
    <t>Iodwasserstoffsäure</t>
  </si>
  <si>
    <t>Kaliumdihydrogen-
phosphat</t>
  </si>
  <si>
    <t>L-Lysinmonohydrochlorid</t>
  </si>
  <si>
    <t>Malonsäurediethylester</t>
  </si>
  <si>
    <t>1-Methoxy-2-propylacetat</t>
  </si>
  <si>
    <t>4-Methoxybenzaldehyd</t>
  </si>
  <si>
    <t>2-Methoxyethylacetat</t>
  </si>
  <si>
    <t>Methylaminhydrochlorid</t>
  </si>
  <si>
    <t>4-Methylbenzaldehyd</t>
  </si>
  <si>
    <t>3-Methylbuttersäure</t>
  </si>
  <si>
    <t>Methylorange Lösung</t>
  </si>
  <si>
    <t>1-Naphthylethansäure</t>
  </si>
  <si>
    <r>
      <t>tetra</t>
    </r>
    <r>
      <rPr>
        <sz val="10"/>
        <rFont val="Arial"/>
        <family val="2"/>
      </rPr>
      <t>-Natriumdiphosphat          Decahydrat</t>
    </r>
  </si>
  <si>
    <t>Alizarinsulfonsäure 
di-Natrium-Salz</t>
  </si>
  <si>
    <t>di-Ammoniumhydrogenphosphat</t>
  </si>
  <si>
    <t>Ammoniumdihydrogenphosphat</t>
  </si>
  <si>
    <t xml:space="preserve">Ammoniumhexacyanoferrat(II) </t>
  </si>
  <si>
    <t>2-Chloracetophenon</t>
  </si>
  <si>
    <t xml:space="preserve">2,6-Dichlorphenolindophenol </t>
  </si>
  <si>
    <t>N,N-Dicyclohexylcarbodiimid</t>
  </si>
  <si>
    <t>4-Dimethylaminoazobenzol</t>
  </si>
  <si>
    <t xml:space="preserve">Hexachloroplatin(IV)­säure </t>
  </si>
  <si>
    <t>D(+)-Lactose Monohydrat</t>
  </si>
  <si>
    <t>Lithiumchlorid Monohydrat</t>
  </si>
  <si>
    <t>D(+)-Maltose Monohydrat</t>
  </si>
  <si>
    <t>Natriumdiethyldithiocarbaminat Trihydrat</t>
  </si>
  <si>
    <t>w = 6-14 % aktives Chlor</t>
  </si>
  <si>
    <t xml:space="preserve">Natriumnitroprussiat </t>
  </si>
  <si>
    <r>
      <t>di-</t>
    </r>
    <r>
      <rPr>
        <sz val="10"/>
        <rFont val="Arial"/>
        <family val="2"/>
      </rPr>
      <t>Natriumrhodizonat</t>
    </r>
  </si>
  <si>
    <t>Natriumsulfat Decahydrat</t>
  </si>
  <si>
    <t>di-Natriumtetraborat</t>
  </si>
  <si>
    <t>Natriumtrichloracetat</t>
  </si>
  <si>
    <t>N-Nitrosodimethylamin</t>
  </si>
  <si>
    <t>Oxalsäure Dihydrat</t>
  </si>
  <si>
    <t>N-Phenylthioharnstoff</t>
  </si>
  <si>
    <r>
      <t>meta</t>
    </r>
    <r>
      <rPr>
        <sz val="10"/>
        <rFont val="Arial"/>
        <family val="2"/>
      </rPr>
      <t>-Phosphorsäure</t>
    </r>
  </si>
  <si>
    <t>1,2,3,4-Tetrahydronaphthalin</t>
  </si>
  <si>
    <t>3,3',5,5'-Tetra­methylbenzidin</t>
  </si>
  <si>
    <t>N,N,N',N'-Tetramethylenethylen-
diamin</t>
  </si>
  <si>
    <t xml:space="preserve">Toluol-4-sulfonsäure </t>
  </si>
  <si>
    <t>1,1,2-Trichlor-1,2,2-trifluorethan</t>
  </si>
  <si>
    <t>Triethanolaminhydrochlorid</t>
  </si>
  <si>
    <t>1,2,3-Trihydroxybenzol</t>
  </si>
  <si>
    <t>Trimethylaminhydrochlorid</t>
  </si>
  <si>
    <t>1,3,5-Trimethylbenzol</t>
  </si>
  <si>
    <t>Uranylacetat Dihydrat</t>
  </si>
  <si>
    <t>Zimtsäureethylester</t>
  </si>
  <si>
    <t>Zinkcarbonat basisch</t>
  </si>
  <si>
    <t>4-Hydroxy-3-methoxy- benzaldehyd</t>
  </si>
  <si>
    <t>1,3,5-Trioxan, Trioxymethylen</t>
  </si>
  <si>
    <t>Benzotrichlorid</t>
  </si>
  <si>
    <t xml:space="preserve">Trichlorethylen </t>
  </si>
  <si>
    <t>Methylchloroform</t>
  </si>
  <si>
    <t xml:space="preserve">2-Methylbenzoesäure </t>
  </si>
  <si>
    <t>3,3’-Dimethylbenzidin</t>
  </si>
  <si>
    <t>3-Methylanilin</t>
  </si>
  <si>
    <t>2-Methylanilin</t>
  </si>
  <si>
    <t>4-Methylanilin</t>
  </si>
  <si>
    <t>Methylbenzol</t>
  </si>
  <si>
    <t>2-Isopropyl-5-methyl­
phenol </t>
  </si>
  <si>
    <t>Thiocarbamid</t>
  </si>
  <si>
    <t>Mercaptoessigsäure</t>
  </si>
  <si>
    <t>Sulfonylchlorid</t>
  </si>
  <si>
    <t>4-Aminobenzol­
sulfonsäure</t>
  </si>
  <si>
    <t>2-Hydroxy-5-sulfobenzolsäure</t>
  </si>
  <si>
    <t>2,4-Hexadiensäure</t>
  </si>
  <si>
    <t>2-Hydroxybenzaldehyd</t>
  </si>
  <si>
    <t>1-Methoxy-2-propyl­
acetat</t>
  </si>
  <si>
    <t>Propansäure</t>
  </si>
  <si>
    <t>Prionylchlorid</t>
  </si>
  <si>
    <t>Isopropylalkohol</t>
  </si>
  <si>
    <t>Propionaldehyd</t>
  </si>
  <si>
    <r>
      <t>di</t>
    </r>
    <r>
      <rPr>
        <sz val="10"/>
        <rFont val="Arial"/>
        <family val="2"/>
      </rPr>
      <t>-Phosphorpentoxid</t>
    </r>
  </si>
  <si>
    <t>Phosphortribromid</t>
  </si>
  <si>
    <t>1,3,5-Trihydroxybenzol</t>
  </si>
  <si>
    <t>1,2-Diaminobenzol</t>
  </si>
  <si>
    <t>2-Amino-3-phenylpropionsäure (Merck)</t>
  </si>
  <si>
    <t>1,4-Diaminobenzol</t>
  </si>
  <si>
    <t>1,3-Diaminobenzol</t>
  </si>
  <si>
    <t>1,10-Phenanthrolin (Merck)</t>
  </si>
  <si>
    <t>enthalten Wasserstoffperoxid/ Harnstoff (Merck)</t>
  </si>
  <si>
    <t>Amylacetat, Essigsäureamylester</t>
  </si>
  <si>
    <t>Valeriansäure</t>
  </si>
  <si>
    <t>4-Nitrophenyldiethylthio-
phosphat</t>
  </si>
  <si>
    <t xml:space="preserve">2,4,6-Trimethyl-1,3,5-trioxan </t>
  </si>
  <si>
    <r>
      <t xml:space="preserve">C.I. 14600, </t>
    </r>
    <r>
      <rPr>
        <sz val="10"/>
        <rFont val="Symbol"/>
        <family val="1"/>
      </rPr>
      <t>a</t>
    </r>
    <r>
      <rPr>
        <sz val="10"/>
        <rFont val="Arial"/>
        <family val="2"/>
      </rPr>
      <t>-Naptholorange  (Fluka)</t>
    </r>
  </si>
  <si>
    <t>n-Caprylsäure</t>
  </si>
  <si>
    <t>nicht Trimethylpentan-Isomere</t>
  </si>
  <si>
    <r>
      <t xml:space="preserve">Siedebereich 60-90 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 xml:space="preserve">C </t>
    </r>
  </si>
  <si>
    <t>Stearylamin,
1-Aminooctadecan (Merck)</t>
  </si>
  <si>
    <r>
      <t>p</t>
    </r>
    <r>
      <rPr>
        <sz val="10"/>
        <rFont val="Arial"/>
        <family val="2"/>
      </rPr>
      <t>-Nitrophenol</t>
    </r>
  </si>
  <si>
    <r>
      <t>o</t>
    </r>
    <r>
      <rPr>
        <sz val="10"/>
        <rFont val="Arial"/>
        <family val="2"/>
      </rPr>
      <t xml:space="preserve">-Nitrophenol </t>
    </r>
  </si>
  <si>
    <r>
      <t>m</t>
    </r>
    <r>
      <rPr>
        <sz val="10"/>
        <rFont val="Arial"/>
        <family val="2"/>
      </rPr>
      <t>-Nitrophenol (Bayer)</t>
    </r>
  </si>
  <si>
    <t>Cellulosenitrat, Schießbaumwolle</t>
  </si>
  <si>
    <r>
      <t>o</t>
    </r>
    <r>
      <rPr>
        <sz val="10"/>
        <rFont val="Arial"/>
        <family val="2"/>
      </rPr>
      <t>-Nitroanilin</t>
    </r>
  </si>
  <si>
    <r>
      <t>p</t>
    </r>
    <r>
      <rPr>
        <sz val="10"/>
        <rFont val="Arial"/>
        <family val="2"/>
      </rPr>
      <t>-Nitroanilin</t>
    </r>
  </si>
  <si>
    <t>(S)-3-Pyridyl-N-methylpyrrolidin</t>
  </si>
  <si>
    <t>Nickelmonooxid</t>
  </si>
  <si>
    <t>Trichloressigsaures Natrium</t>
  </si>
  <si>
    <t>Natriumcobaltnitrit (Merck)</t>
  </si>
  <si>
    <t>Natriumethoxid</t>
  </si>
  <si>
    <t>1-Naphthalinessigsäure</t>
  </si>
  <si>
    <r>
      <t>b</t>
    </r>
    <r>
      <rPr>
        <sz val="10"/>
        <rFont val="Arial"/>
        <family val="2"/>
      </rPr>
      <t>-Naphthylamin</t>
    </r>
  </si>
  <si>
    <r>
      <t>a</t>
    </r>
    <r>
      <rPr>
        <sz val="10"/>
        <rFont val="Arial"/>
        <family val="2"/>
      </rPr>
      <t>-Naphthylamin</t>
    </r>
  </si>
  <si>
    <t xml:space="preserve">Amidoschwarz 10 B </t>
  </si>
  <si>
    <t>Bis(4-hydroxy-N-methylanilinium)sulfat</t>
  </si>
  <si>
    <t>Isobutyraldehyd (Merck)</t>
  </si>
  <si>
    <t>Methacrylsäuremethylester</t>
  </si>
  <si>
    <t>2-Methoxyethanol</t>
  </si>
  <si>
    <t>Ameisensäuremethylester</t>
  </si>
  <si>
    <r>
      <t>p</t>
    </r>
    <r>
      <rPr>
        <sz val="10"/>
        <rFont val="Arial"/>
        <family val="2"/>
      </rPr>
      <t>-Toluylaldehyd</t>
    </r>
  </si>
  <si>
    <t>Methylammoniumchlorid</t>
  </si>
  <si>
    <t>Essigsäuremethylester</t>
  </si>
  <si>
    <t xml:space="preserve">Isoamylalkohol </t>
  </si>
  <si>
    <r>
      <t>tert</t>
    </r>
    <r>
      <rPr>
        <sz val="10"/>
        <rFont val="Arial"/>
        <family val="2"/>
      </rPr>
      <t>.-Pentylalkohol</t>
    </r>
  </si>
  <si>
    <t>Anisaldehyd (Fluka/Riedel de Haen)</t>
  </si>
  <si>
    <t>Essigsäuremethoxypropyl-ester</t>
  </si>
  <si>
    <t>siehe Formaldehyd</t>
  </si>
  <si>
    <t>2,4,6,8-Tetramethyl-1,3,5,7-tetraoxacyclooctan</t>
  </si>
  <si>
    <t xml:space="preserve">2-Isopropyl-5-methylcyclo-
hexanol </t>
  </si>
  <si>
    <t>sym.-Triaminotriazin (BASF)</t>
  </si>
  <si>
    <t>siehe Diethylmalonat</t>
  </si>
  <si>
    <t>cis-Butendisäureanhydrid </t>
  </si>
  <si>
    <r>
      <t>cis</t>
    </r>
    <r>
      <rPr>
        <sz val="10"/>
        <rFont val="Arial"/>
        <family val="2"/>
      </rPr>
      <t>-Butendisäure</t>
    </r>
  </si>
  <si>
    <t>3-Aminophthalhydrazid (Aldrich)</t>
  </si>
  <si>
    <t xml:space="preserve">(S)-2-Amino­3-methylvaleriansäure </t>
  </si>
  <si>
    <t>N-Nitroso-N-phenylhydroxylamin, Ammoniumsalz</t>
  </si>
  <si>
    <t>o-Kresolsulfonphthalein (Merck)</t>
  </si>
  <si>
    <t>4-Methylphenol</t>
  </si>
  <si>
    <t>3-Methylphenol</t>
  </si>
  <si>
    <t>2-Methylphenol</t>
  </si>
  <si>
    <t>Essigsäureisopropylester</t>
  </si>
  <si>
    <t>Essigsäureisobutylester</t>
  </si>
  <si>
    <t>(Fluka/Riedel de Haen)</t>
  </si>
  <si>
    <t>Hydroxylammoniumchlorid</t>
  </si>
  <si>
    <t>Hydroxylaminsulfat</t>
  </si>
  <si>
    <t>(S)-2-Aminoglutarsäure (Merck)</t>
  </si>
  <si>
    <t>3,4,5-Trihydroxybenzoesäure</t>
  </si>
  <si>
    <r>
      <t>trans</t>
    </r>
    <r>
      <rPr>
        <sz val="10"/>
        <rFont val="Arial"/>
        <family val="2"/>
      </rPr>
      <t>-Butendisäure</t>
    </r>
  </si>
  <si>
    <t>Resorcinphthalein (Merk)</t>
  </si>
  <si>
    <t>2-Ethoxyethanol</t>
  </si>
  <si>
    <t>1,2-Ethandiol</t>
  </si>
  <si>
    <t>Zimtsäureethylester (Fluka/Rie­del de Haen)</t>
  </si>
  <si>
    <t>Buttersäureethylester (Merck)</t>
  </si>
  <si>
    <t>4-Hydroxybenzoesäureethyl- ester</t>
  </si>
  <si>
    <t>4-Aminobenzoesäureethyl-
ester, Benzocain (Merck)</t>
  </si>
  <si>
    <t>3-Hydroxybenzoesäureethyl-
ester</t>
  </si>
  <si>
    <t>1-Acetoxy-2-ethoxyethan</t>
  </si>
  <si>
    <t>Diphenylthiocarbazon</t>
  </si>
  <si>
    <t>4,4'-Methylendiphenyl-
diisocyanat</t>
  </si>
  <si>
    <t xml:space="preserve">Thiocarbanilid </t>
  </si>
  <si>
    <t>N-Phenylanilin</t>
  </si>
  <si>
    <t>Phthalsäuredioctylester     (Fluka/Rie­del de Haen)</t>
  </si>
  <si>
    <t xml:space="preserve">Phthalsäuredinonylester </t>
  </si>
  <si>
    <t>DNOC,
2-Methyl-4,6-dinitrophenol</t>
  </si>
  <si>
    <t>Phthalsäuredimethylester (Merck)</t>
  </si>
  <si>
    <t>2,3-Butandiondioxim (Merck)</t>
  </si>
  <si>
    <t xml:space="preserve">Diacetyldioxim, </t>
  </si>
  <si>
    <t>4-Dimethylaminotoluol</t>
  </si>
  <si>
    <r>
      <t>2-Methyl-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>-phenylendiisocyanat</t>
    </r>
  </si>
  <si>
    <r>
      <t>4-Methyl-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>-phenylendiisocyanat</t>
    </r>
  </si>
  <si>
    <r>
      <t>m</t>
    </r>
    <r>
      <rPr>
        <sz val="10"/>
        <rFont val="Arial"/>
        <family val="2"/>
      </rPr>
      <t>-Tolylidendiisocyanat</t>
    </r>
  </si>
  <si>
    <t>Schwefelsäurediethylester</t>
  </si>
  <si>
    <t>2,2´-Oxydiethanol</t>
  </si>
  <si>
    <t>N,N-Diethylethanolamin</t>
  </si>
  <si>
    <t>Methylenchlorid</t>
  </si>
  <si>
    <r>
      <t>trans</t>
    </r>
    <r>
      <rPr>
        <sz val="10"/>
        <rFont val="Arial"/>
        <family val="2"/>
      </rPr>
      <t>-1,2-Dichlorethylen</t>
    </r>
  </si>
  <si>
    <t>1,1-Dichlorethylen</t>
  </si>
  <si>
    <t>Dichloressigsäure</t>
  </si>
  <si>
    <t>Ethylendichlorid</t>
  </si>
  <si>
    <r>
      <t>p</t>
    </r>
    <r>
      <rPr>
        <sz val="10"/>
        <rFont val="Arial"/>
        <family val="2"/>
      </rPr>
      <t>-Dichlorbenzol</t>
    </r>
  </si>
  <si>
    <r>
      <t>m</t>
    </r>
    <r>
      <rPr>
        <sz val="10"/>
        <rFont val="Arial"/>
        <family val="2"/>
      </rPr>
      <t>-Dichlorbenzol</t>
    </r>
  </si>
  <si>
    <r>
      <t>o</t>
    </r>
    <r>
      <rPr>
        <sz val="10"/>
        <rFont val="Arial"/>
        <family val="2"/>
      </rPr>
      <t>-Dichlorbenzol</t>
    </r>
  </si>
  <si>
    <t>Phthalsäuredibutylester</t>
  </si>
  <si>
    <t>Methylenbromid</t>
  </si>
  <si>
    <t>Trimethylendiamin (Merck)</t>
  </si>
  <si>
    <t>Natriumdesoxycholat (Hedinger)</t>
  </si>
  <si>
    <t>Rinderpankreas
(Appli Chem)</t>
  </si>
  <si>
    <r>
      <t>a,a</t>
    </r>
    <r>
      <rPr>
        <sz val="10"/>
        <rFont val="Arial"/>
        <family val="2"/>
      </rPr>
      <t>-Dimethylbenzylhydro-
peroxid</t>
    </r>
  </si>
  <si>
    <t>2,4,6-Trimethylpyridin</t>
  </si>
  <si>
    <t>Hydrogenchlorid</t>
  </si>
  <si>
    <t>Calciumchloridhypochlorit, Bleichkalk</t>
  </si>
  <si>
    <t>Ethylenchlorhydrin</t>
  </si>
  <si>
    <r>
      <t>sek</t>
    </r>
    <r>
      <rPr>
        <sz val="10"/>
        <rFont val="Arial"/>
        <family val="2"/>
      </rPr>
      <t>.-Butylchlorid (Fluka/Riedel de Haen)</t>
    </r>
  </si>
  <si>
    <r>
      <t>2,5-Dichlor-3,6-dihydroxy-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>-benzochinon (Merck)</t>
    </r>
  </si>
  <si>
    <t xml:space="preserve">Tosylchloramid-Natrium </t>
  </si>
  <si>
    <t xml:space="preserve">Trichloracetaldehyd </t>
  </si>
  <si>
    <t xml:space="preserve">Phenacylchlorid </t>
  </si>
  <si>
    <t>tert.-Butylchlorid (Merck)</t>
  </si>
  <si>
    <t>Epichlorhydrin</t>
  </si>
  <si>
    <t>6-Aminocapronsäurelactam</t>
  </si>
  <si>
    <t>2-Methoxy-2-methylpropan, MTBE</t>
  </si>
  <si>
    <r>
      <t>tert.</t>
    </r>
    <r>
      <rPr>
        <sz val="10"/>
        <rFont val="Arial"/>
        <family val="2"/>
      </rPr>
      <t>-Butylbromid (Fluka/Riedel de Haen)</t>
    </r>
  </si>
  <si>
    <t>2-Methylpropionsäure</t>
  </si>
  <si>
    <t>n-Butansäure</t>
  </si>
  <si>
    <t>Ethylmethylketon</t>
  </si>
  <si>
    <t>Butylenglykol (Merck)</t>
  </si>
  <si>
    <t>Butyraldehyd</t>
  </si>
  <si>
    <t>2,3-Dimethoxystrychnin</t>
  </si>
  <si>
    <t>Hydrogenbromid
(Air Products)</t>
  </si>
  <si>
    <t>Isopropylbromid</t>
  </si>
  <si>
    <t>Propylbromid</t>
  </si>
  <si>
    <t>2-Pentylbromid</t>
  </si>
  <si>
    <r>
      <t>5',5"-Dibrom­</t>
    </r>
    <r>
      <rPr>
        <i/>
        <sz val="10"/>
        <rFont val="Arial"/>
        <family val="2"/>
      </rPr>
      <t>o</t>
    </r>
    <r>
      <rPr>
        <sz val="10"/>
        <rFont val="Arial"/>
        <family val="2"/>
      </rPr>
      <t>-kresolsulfonphthalein (Merck)</t>
    </r>
  </si>
  <si>
    <t>2-Hexylbromid (Merck)</t>
  </si>
  <si>
    <t>1-Hexylbromid (Merck)</t>
  </si>
  <si>
    <r>
      <t>a</t>
    </r>
    <r>
      <rPr>
        <sz val="10"/>
        <rFont val="Arial"/>
        <family val="2"/>
      </rPr>
      <t>-Bromisobuttersäure</t>
    </r>
  </si>
  <si>
    <t>sec.-Butylbromid (Merck)</t>
  </si>
  <si>
    <t>2-Oxopropionsäure (Merck)</t>
  </si>
  <si>
    <t>Bleidiacetat- bis(bleidihydroxid)</t>
  </si>
  <si>
    <t>Bismuttrichlorid (Merck)</t>
  </si>
  <si>
    <t>Phthalsäurebis-2-ethylhexylester</t>
  </si>
  <si>
    <t>2,2’-Bipyridin (Merck)</t>
  </si>
  <si>
    <t>Benzoesäurebenzylester</t>
  </si>
  <si>
    <t>1-Phenyl-1,3-butandion</t>
  </si>
  <si>
    <t>Phenylcyanid</t>
  </si>
  <si>
    <r>
      <t>a</t>
    </r>
    <r>
      <rPr>
        <sz val="10"/>
        <rFont val="Arial"/>
        <family val="2"/>
      </rPr>
      <t>-Hydroxybenzylphenyl- keton (Merck)</t>
    </r>
  </si>
  <si>
    <t>4,4'-Diaminobiphenyl</t>
  </si>
  <si>
    <t>4,4'-Carbonimidoylbis­[N,N-dimethylanilin])</t>
  </si>
  <si>
    <t>9,10-Dihydro­9-oxoanthracen (Merck)</t>
  </si>
  <si>
    <t>Methylphenylether</t>
  </si>
  <si>
    <r>
      <t>p</t>
    </r>
    <r>
      <rPr>
        <sz val="10"/>
        <rFont val="Arial"/>
        <family val="2"/>
      </rPr>
      <t>-(Phenylazo)anilin; Anilingelb</t>
    </r>
  </si>
  <si>
    <t>N,N-Dimethyl-1,4-phenylendiamin</t>
  </si>
  <si>
    <t>3-Aminopropylalkohol</t>
  </si>
  <si>
    <t>Isopropanolamin</t>
  </si>
  <si>
    <t>3-Aminopropionsäure (Merck)</t>
  </si>
  <si>
    <t>2-Aminopropionsäure (Merck)</t>
  </si>
  <si>
    <t>2-Hydroxybernsteinsäure</t>
  </si>
  <si>
    <t>(-)-Epinephrin</t>
  </si>
  <si>
    <t>Hexandisäure</t>
  </si>
  <si>
    <t>Acrolein,
2-Propenal</t>
  </si>
  <si>
    <t>Acrylsäureamid</t>
  </si>
  <si>
    <t>2,4-Pentandion</t>
  </si>
  <si>
    <t>Methylphenylketon</t>
  </si>
  <si>
    <t>Methylcyanid</t>
  </si>
  <si>
    <t>Essigsäureamid</t>
  </si>
  <si>
    <t xml:space="preserve">Besondere </t>
  </si>
  <si>
    <t>Tätigkeits-beschränkungen</t>
  </si>
  <si>
    <t>Arbeitsplatz-grenzwert</t>
  </si>
  <si>
    <t>Spitzenbegren-zung</t>
  </si>
  <si>
    <t>Entsorgung</t>
  </si>
  <si>
    <t>Wassergefährdungs-klasse</t>
  </si>
  <si>
    <t>Propensäure</t>
  </si>
  <si>
    <r>
      <t xml:space="preserve">Xi: 10%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25% </t>
    </r>
  </si>
  <si>
    <t>Essigsäureanhydrid</t>
  </si>
  <si>
    <t>Acetanhydrid</t>
  </si>
  <si>
    <t>108-24-7</t>
  </si>
  <si>
    <t>941-98-0</t>
  </si>
  <si>
    <t>22-52/53</t>
  </si>
  <si>
    <t>Acetylsalicylsäure</t>
  </si>
  <si>
    <t>50-78-2</t>
  </si>
  <si>
    <t>Acridinorange</t>
  </si>
  <si>
    <t>10127-02-3</t>
  </si>
  <si>
    <t>Acrylaldehyd</t>
  </si>
  <si>
    <t>107-02-8</t>
  </si>
  <si>
    <t>F, T+, N</t>
  </si>
  <si>
    <t>11-24/25-26-34-50</t>
  </si>
  <si>
    <t>23-26-28-36/37/39-45-61</t>
  </si>
  <si>
    <t>- S, ESP</t>
  </si>
  <si>
    <t xml:space="preserve">dbS bF </t>
  </si>
  <si>
    <r>
      <t xml:space="preserve">T: 1 %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7 %</t>
    </r>
  </si>
  <si>
    <t>Acrylamid</t>
  </si>
  <si>
    <t>79-06-1</t>
  </si>
  <si>
    <t>T</t>
  </si>
  <si>
    <t>45-46-20/21-25-36/38-43-48/23/24/25-62</t>
  </si>
  <si>
    <t>53-45</t>
  </si>
  <si>
    <t>-</t>
  </si>
  <si>
    <t>Acrylnitril</t>
  </si>
  <si>
    <t>Acrylsäurenitril</t>
  </si>
  <si>
    <t>107-13-1</t>
  </si>
  <si>
    <t>F, T, N</t>
  </si>
  <si>
    <t>45-11-23/24/25-37/38-41-43-51/53</t>
  </si>
  <si>
    <t>9-16-53-45-61</t>
  </si>
  <si>
    <t>dbS bF</t>
  </si>
  <si>
    <t>Acrylsäure</t>
  </si>
  <si>
    <t>79-10-7</t>
  </si>
  <si>
    <t>C, N</t>
  </si>
  <si>
    <t>10-20/21/22-35-50</t>
  </si>
  <si>
    <t>26-36/37/39-45-61</t>
  </si>
  <si>
    <t>- S 4.  Klasse, ESP</t>
  </si>
  <si>
    <r>
      <t xml:space="preserve">Xi 36/37/38: 1%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5%</t>
    </r>
  </si>
  <si>
    <t>Adenin</t>
  </si>
  <si>
    <t>Fluka</t>
  </si>
  <si>
    <t>73-24-5</t>
  </si>
  <si>
    <t>Adipinsäure</t>
  </si>
  <si>
    <t>124-04-8</t>
  </si>
  <si>
    <r>
      <t xml:space="preserve">Xi: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20%</t>
    </r>
  </si>
  <si>
    <t>111-50-2</t>
  </si>
  <si>
    <t>8-20-23-26-30-36/37/39-45-60</t>
  </si>
  <si>
    <t>(-)-Adrenalin</t>
  </si>
  <si>
    <t>(Fluka)</t>
  </si>
  <si>
    <t>51-43-4</t>
  </si>
  <si>
    <t>23/24/25</t>
  </si>
  <si>
    <t>36/37/39-45</t>
  </si>
  <si>
    <r>
      <t xml:space="preserve">Xn: 3 %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25%</t>
    </r>
  </si>
  <si>
    <t>DL-Aepfelsäure</t>
  </si>
  <si>
    <t>(Merck)</t>
  </si>
  <si>
    <t>6915-15-7</t>
  </si>
  <si>
    <t>Agar</t>
  </si>
  <si>
    <t>9002-18-0</t>
  </si>
  <si>
    <t>Aktivkohle</t>
  </si>
  <si>
    <t>7440-44-0</t>
  </si>
  <si>
    <r>
      <t>beta</t>
    </r>
    <r>
      <rPr>
        <sz val="10"/>
        <rFont val="Arial"/>
        <family val="2"/>
      </rPr>
      <t>-Alanin</t>
    </r>
  </si>
  <si>
    <t>107-95-9</t>
  </si>
  <si>
    <t>1 </t>
  </si>
  <si>
    <t>DL-Alanin</t>
  </si>
  <si>
    <t>302-72-7</t>
  </si>
  <si>
    <t>L-Alanin</t>
  </si>
  <si>
    <t>56-41-7</t>
  </si>
  <si>
    <t>´-S 9. Klasse, ESP</t>
  </si>
  <si>
    <t>´-S 4. Klasse</t>
  </si>
  <si>
    <t>´- S 4. klasse</t>
  </si>
  <si>
    <t>(Fluka/Rie­del de Haen)</t>
  </si>
  <si>
    <t>532-27-4</t>
  </si>
  <si>
    <t>25-36/37/38-42/43</t>
  </si>
  <si>
    <t>22-26-36/37/39-45</t>
  </si>
  <si>
    <t>-S 4.   Klasse, ESP</t>
  </si>
  <si>
    <t>3-Chlor-1-propen</t>
  </si>
  <si>
    <t>Allylchlorid</t>
  </si>
  <si>
    <t>85-44-9</t>
  </si>
  <si>
    <t>22-37/38-41-42/43</t>
  </si>
  <si>
    <t>23-24/25-26-37/39-46</t>
  </si>
  <si>
    <t>Phthalsäure-bis-2-ethylhexylester</t>
  </si>
  <si>
    <t>siehe Bis-(2-ethylhexyl)-phthalat</t>
  </si>
  <si>
    <t>Pikrinsäure</t>
  </si>
  <si>
    <t>2,4,6-Trini­tro­phenol, trocken</t>
  </si>
  <si>
    <t>88-89-1</t>
  </si>
  <si>
    <t>E, T</t>
  </si>
  <si>
    <t>3-4-23/24/25</t>
  </si>
  <si>
    <t>28-35--36/37-45</t>
  </si>
  <si>
    <t>Piperidin</t>
  </si>
  <si>
    <t>Hexahydropyridin</t>
  </si>
  <si>
    <t>110-89-4</t>
  </si>
  <si>
    <t>F, T, C</t>
  </si>
  <si>
    <t>11-23/24-34</t>
  </si>
  <si>
    <t>16-26-27-45</t>
  </si>
  <si>
    <r>
      <t xml:space="preserve">T: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5%</t>
    </r>
  </si>
  <si>
    <t>Piperonal</t>
  </si>
  <si>
    <t>Helio­tropin (Fluka)</t>
  </si>
  <si>
    <t>120-57-0</t>
  </si>
  <si>
    <t>38-52/53</t>
  </si>
  <si>
    <t>Platin(IV)-chlorid</t>
  </si>
  <si>
    <t>13454-96-1</t>
  </si>
  <si>
    <t>22-34-42/43</t>
  </si>
  <si>
    <t>Propan</t>
  </si>
  <si>
    <t>74-98-6</t>
  </si>
  <si>
    <t>Propanal</t>
  </si>
  <si>
    <t>123-38-6</t>
  </si>
  <si>
    <t>Propan-1-ol</t>
  </si>
  <si>
    <t>71-23-8</t>
  </si>
  <si>
    <t>11-41-67</t>
  </si>
  <si>
    <t>7-16-24-26-39</t>
  </si>
  <si>
    <t>Propan-2-ol</t>
  </si>
  <si>
    <t>Propen</t>
  </si>
  <si>
    <t>Propylen</t>
  </si>
  <si>
    <t>115-07-1</t>
  </si>
  <si>
    <t>Prop-2-en-1-ol</t>
  </si>
  <si>
    <t>Allylalkohol</t>
  </si>
  <si>
    <t>107-18-6</t>
  </si>
  <si>
    <t>10-23/24/25-36/37/38-50</t>
  </si>
  <si>
    <t>36/37/39-38-45-61</t>
  </si>
  <si>
    <t>Propionsäure</t>
  </si>
  <si>
    <t>79-09-4</t>
  </si>
  <si>
    <t>23-36-45</t>
  </si>
  <si>
    <r>
      <t xml:space="preserve">Xi R36/37/39: 5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10 %</t>
    </r>
  </si>
  <si>
    <t>Propionsäure­chlorid</t>
  </si>
  <si>
    <t>79-03-8</t>
  </si>
  <si>
    <t>Propylenglykol</t>
  </si>
  <si>
    <t>1,2-Propan­diol</t>
  </si>
  <si>
    <t>57-55-6</t>
  </si>
  <si>
    <t>Propylenglykol-1-methylether-2-acetat</t>
  </si>
  <si>
    <t>Propylenoxid</t>
  </si>
  <si>
    <t>1,2-Epoxy­propan</t>
  </si>
  <si>
    <t>75-56-9</t>
  </si>
  <si>
    <t>45-46-12-20/21/22-36/37/38</t>
  </si>
  <si>
    <t>K2, M2, H</t>
  </si>
  <si>
    <t>Pyridin</t>
  </si>
  <si>
    <t>110-86-1</t>
  </si>
  <si>
    <t>11-20/21/22</t>
  </si>
  <si>
    <t>26-28</t>
  </si>
  <si>
    <t>7439-97-6</t>
  </si>
  <si>
    <t>61-26-48/23-50/53</t>
  </si>
  <si>
    <r>
      <t>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2</t>
    </r>
  </si>
  <si>
    <t>Quecksilber(I)-chlorid</t>
  </si>
  <si>
    <t>Kalomel, Diquecksilberdichlorid</t>
  </si>
  <si>
    <t>10112-91-1</t>
  </si>
  <si>
    <t>13-24/25-46-60-61</t>
  </si>
  <si>
    <t>Quecksilber(I)-iodid</t>
  </si>
  <si>
    <t>15385-57-6</t>
  </si>
  <si>
    <t>13-28-45-60-61</t>
  </si>
  <si>
    <t>Quecksilber(II)-acetat</t>
  </si>
  <si>
    <t>1600-27-7</t>
  </si>
  <si>
    <r>
      <t xml:space="preserve">T+: 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2 %</t>
    </r>
  </si>
  <si>
    <t>Quecksilber(II)-chlorid</t>
  </si>
  <si>
    <t>7487-94-7</t>
  </si>
  <si>
    <t>28-34-48/24/25-62-68-50/53</t>
  </si>
  <si>
    <t>26-36/37/39-45-60-61</t>
  </si>
  <si>
    <r>
      <t>M3, 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3, H</t>
    </r>
  </si>
  <si>
    <t>Quecksilber(II)-iodid</t>
  </si>
  <si>
    <t>7774-29-0</t>
  </si>
  <si>
    <t xml:space="preserve">Quecksilber(II)-nitrat </t>
  </si>
  <si>
    <t>Quecksilber(II)-oxid</t>
  </si>
  <si>
    <t>21908-53-2</t>
  </si>
  <si>
    <t>Quecksilber(II)-sulfid</t>
  </si>
  <si>
    <t>Zinnober</t>
  </si>
  <si>
    <t>1344-48-5</t>
  </si>
  <si>
    <t>Quecksilberfulminat</t>
  </si>
  <si>
    <t>Knallquecksilber</t>
  </si>
  <si>
    <t>628-86-4</t>
  </si>
  <si>
    <t>3-23/24/25-33-50/53</t>
  </si>
  <si>
    <t>3-35-45-60-61</t>
  </si>
  <si>
    <t>Resazurin</t>
  </si>
  <si>
    <t>62758-13-8</t>
  </si>
  <si>
    <t>Rhodamin B</t>
  </si>
  <si>
    <t>C.I. 45170</t>
  </si>
  <si>
    <t>81-88-9</t>
  </si>
  <si>
    <t>41-52/53</t>
  </si>
  <si>
    <t>22-26-39-61</t>
  </si>
  <si>
    <r>
      <t xml:space="preserve">Xi: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5 %</t>
    </r>
  </si>
  <si>
    <t>Rhodanwasserstoffsäure</t>
  </si>
  <si>
    <t>Thiocyansäure</t>
  </si>
  <si>
    <t>463-56-9</t>
  </si>
  <si>
    <t>13-61</t>
  </si>
  <si>
    <t>Rubidium</t>
  </si>
  <si>
    <t>7440-17-7</t>
  </si>
  <si>
    <t>26-36/37/39-43-45</t>
  </si>
  <si>
    <t>-S</t>
  </si>
  <si>
    <t>Rubidiumchlorid</t>
  </si>
  <si>
    <t>7791-11-9</t>
  </si>
  <si>
    <t>D(+)-Saccharose</t>
  </si>
  <si>
    <t>Rohrzucker</t>
  </si>
  <si>
    <t>57-50-1</t>
  </si>
  <si>
    <t>Safranin T</t>
  </si>
  <si>
    <t>Safranin O C.I. 50240</t>
  </si>
  <si>
    <t>477-73-6</t>
  </si>
  <si>
    <t>Salicylaldehyd</t>
  </si>
  <si>
    <t xml:space="preserve">(Fluka) </t>
  </si>
  <si>
    <t>90-02-8</t>
  </si>
  <si>
    <t>Salicylsäure</t>
  </si>
  <si>
    <t>2-Hydroxy-benzoe­säure</t>
  </si>
  <si>
    <t>69-72-7</t>
  </si>
  <si>
    <t>Salpetersäure</t>
  </si>
  <si>
    <t>7697-37-2</t>
  </si>
  <si>
    <r>
      <t xml:space="preserve">O: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70%</t>
    </r>
  </si>
  <si>
    <t>Salzsäure</t>
  </si>
  <si>
    <r>
      <t xml:space="preserve">C: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25%</t>
    </r>
  </si>
  <si>
    <t>Saponin</t>
  </si>
  <si>
    <t>8047-15-2</t>
  </si>
  <si>
    <t>Sauerstoff</t>
  </si>
  <si>
    <t>(flüssig)</t>
  </si>
  <si>
    <t>7782-44-7</t>
  </si>
  <si>
    <t>Säurefuchsin</t>
  </si>
  <si>
    <t>C.I. 42685 (Merck)</t>
  </si>
  <si>
    <t>3244-88-0</t>
  </si>
  <si>
    <t>Schiff’s Reagens</t>
  </si>
  <si>
    <t>auf Aldehyde</t>
  </si>
  <si>
    <t>Schwefel</t>
  </si>
  <si>
    <t>7704-34-9</t>
  </si>
  <si>
    <t>Schwefeldioxid</t>
  </si>
  <si>
    <t>7446-09-5</t>
  </si>
  <si>
    <t>23-34</t>
  </si>
  <si>
    <r>
      <t xml:space="preserve">T: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20 % </t>
    </r>
  </si>
  <si>
    <t>Schwefelsäure</t>
  </si>
  <si>
    <t>7664-93-9</t>
  </si>
  <si>
    <r>
      <t xml:space="preserve">C: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15%</t>
    </r>
  </si>
  <si>
    <t>Schwefelwasserstoff</t>
  </si>
  <si>
    <t>7783-06-4</t>
  </si>
  <si>
    <t>12-26-50</t>
  </si>
  <si>
    <t>9-16-36-38-45-61</t>
  </si>
  <si>
    <t>Schweflige Säure</t>
  </si>
  <si>
    <t>w = 6 % Schwefeldioxid</t>
  </si>
  <si>
    <t>7782-99-2</t>
  </si>
  <si>
    <t>20-34</t>
  </si>
  <si>
    <t>Sebacinsäure</t>
  </si>
  <si>
    <t xml:space="preserve">Decandisäure </t>
  </si>
  <si>
    <t>111-20-6</t>
  </si>
  <si>
    <t>Sebacinsäure-dichlorid</t>
  </si>
  <si>
    <t>Sebacyl­chlorid</t>
  </si>
  <si>
    <t>111-19-3</t>
  </si>
  <si>
    <t>Seifenlösung</t>
  </si>
  <si>
    <t xml:space="preserve">nach BOUTRON und BOUDET </t>
  </si>
  <si>
    <t>23-24/25 </t>
  </si>
  <si>
    <t>Selen</t>
  </si>
  <si>
    <t>7782-49-2</t>
  </si>
  <si>
    <t>23/25-33-53</t>
  </si>
  <si>
    <t>20/21-28-45-61</t>
  </si>
  <si>
    <t>0,05 E</t>
  </si>
  <si>
    <t>Selendioxid</t>
  </si>
  <si>
    <t>7446-08-4</t>
  </si>
  <si>
    <t>23/25-33-50/53</t>
  </si>
  <si>
    <t>Semicarbazid-hydrochlorid</t>
  </si>
  <si>
    <t>563-41-7</t>
  </si>
  <si>
    <t>Silber(I)-oxid</t>
  </si>
  <si>
    <t>20667-12-3</t>
  </si>
  <si>
    <t>8-34-44</t>
  </si>
  <si>
    <t>0,01 E</t>
  </si>
  <si>
    <t>Silberacetat</t>
  </si>
  <si>
    <t>563-63-3</t>
  </si>
  <si>
    <t>Silbernitrat</t>
  </si>
  <si>
    <t>7761-88-8</t>
  </si>
  <si>
    <t>8-34-50/53</t>
  </si>
  <si>
    <r>
      <t xml:space="preserve">Xi: 5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10 %</t>
    </r>
  </si>
  <si>
    <t>Silbersulfat</t>
  </si>
  <si>
    <t>10294-26-5</t>
  </si>
  <si>
    <t>22-26-39</t>
  </si>
  <si>
    <t>Silicium</t>
  </si>
  <si>
    <t>Degussa</t>
  </si>
  <si>
    <t>7440-21-3</t>
  </si>
  <si>
    <t>Siliciumtetrachlorid</t>
  </si>
  <si>
    <t>10026-04-7</t>
  </si>
  <si>
    <t>14-36/37/38</t>
  </si>
  <si>
    <t>7/8-26</t>
  </si>
  <si>
    <t>Sorbinsäure</t>
  </si>
  <si>
    <t>110-44-1</t>
  </si>
  <si>
    <t>Stärke</t>
  </si>
  <si>
    <t>9005-25-8</t>
  </si>
  <si>
    <t>Stearinsäure</t>
  </si>
  <si>
    <t>57-11-4</t>
  </si>
  <si>
    <t>Stickstoff</t>
  </si>
  <si>
    <t>7727-37-9</t>
  </si>
  <si>
    <t>Stickstoffdioxid</t>
  </si>
  <si>
    <t>Distickstofftetraoxid</t>
  </si>
  <si>
    <t>10544-72-6</t>
  </si>
  <si>
    <t>O, T+</t>
  </si>
  <si>
    <t>8-26-34</t>
  </si>
  <si>
    <r>
      <t xml:space="preserve">Xn R 20: 0,1%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0,5 %</t>
    </r>
  </si>
  <si>
    <t>Stickstoffmonooxid</t>
  </si>
  <si>
    <t>Air Liquide </t>
  </si>
  <si>
    <t>10102-43-9</t>
  </si>
  <si>
    <t>9-17-26-36/37/39-45</t>
  </si>
  <si>
    <r>
      <t>trans</t>
    </r>
    <r>
      <rPr>
        <sz val="10"/>
        <rFont val="Arial"/>
        <family val="2"/>
      </rPr>
      <t>-Stilben</t>
    </r>
  </si>
  <si>
    <t>103-30-0</t>
  </si>
  <si>
    <t>22-36-51/53 </t>
  </si>
  <si>
    <t>26-36/37-61 </t>
  </si>
  <si>
    <t>Streptomycinsulfat</t>
  </si>
  <si>
    <t>3810-74-0</t>
  </si>
  <si>
    <t>61-22</t>
  </si>
  <si>
    <t>53-36/37/39-45</t>
  </si>
  <si>
    <t>Strontiumcarbonat</t>
  </si>
  <si>
    <t>1633-05-2</t>
  </si>
  <si>
    <t>Strontiumchlorid Hexahydrat</t>
  </si>
  <si>
    <t>10025-70-4</t>
  </si>
  <si>
    <t>Strontiumchromat</t>
  </si>
  <si>
    <t>7789-06-2</t>
  </si>
  <si>
    <t>Strontiumnitrat</t>
  </si>
  <si>
    <t>10042-76-9</t>
  </si>
  <si>
    <t>17-26</t>
  </si>
  <si>
    <t>Strychnin</t>
  </si>
  <si>
    <t>57-24-9</t>
  </si>
  <si>
    <t>27/28-50/53</t>
  </si>
  <si>
    <t>Styrol</t>
  </si>
  <si>
    <t>100-42-5</t>
  </si>
  <si>
    <t>10-20-36/38</t>
  </si>
  <si>
    <t>Sudanschwarz B</t>
  </si>
  <si>
    <t>C.I. 26150 (Roth)</t>
  </si>
  <si>
    <t>4197-25-5</t>
  </si>
  <si>
    <t>SUDAN-III</t>
  </si>
  <si>
    <t>C.I. 26100 (Merck)</t>
  </si>
  <si>
    <t>85-86-9</t>
  </si>
  <si>
    <t>Sulfanilsäure</t>
  </si>
  <si>
    <t>5-Sulfosalicylsäure Dihydrat</t>
  </si>
  <si>
    <t>5965-83-3</t>
  </si>
  <si>
    <t>Sulfurylchlorid</t>
  </si>
  <si>
    <t>7791-25-5</t>
  </si>
  <si>
    <t xml:space="preserve">Tartrazin </t>
  </si>
  <si>
    <t>C.I. 19140</t>
  </si>
  <si>
    <t>1934-21-0</t>
  </si>
  <si>
    <t>42/43</t>
  </si>
  <si>
    <t>Tellur</t>
  </si>
  <si>
    <t>13494-80-9</t>
  </si>
  <si>
    <t>Terephthalsäure</t>
  </si>
  <si>
    <t>100-21-0</t>
  </si>
  <si>
    <t>Terpentinöl</t>
  </si>
  <si>
    <t>8006-64-2</t>
  </si>
  <si>
    <t>10-20/21/22-36/38-43-51/53-65</t>
  </si>
  <si>
    <t>36/37-46-61-62</t>
  </si>
  <si>
    <t>1,1,2,2-Tetrachlorethan</t>
  </si>
  <si>
    <t>79-34-5</t>
  </si>
  <si>
    <t>26/27-51/53</t>
  </si>
  <si>
    <t>38-45-61</t>
  </si>
  <si>
    <t>K3,M3, H</t>
  </si>
  <si>
    <t>Tetrachlorethen</t>
  </si>
  <si>
    <t>Tetrachlorethylen, PER</t>
  </si>
  <si>
    <t>127-18-4</t>
  </si>
  <si>
    <t>40-51/53</t>
  </si>
  <si>
    <t>23-36/37-61</t>
  </si>
  <si>
    <r>
      <t>K3, 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3, H</t>
    </r>
  </si>
  <si>
    <t>Tetrachlormethan</t>
  </si>
  <si>
    <t>Tetrachlorkohlenstoff, Kohlenstofftetrachlorid</t>
  </si>
  <si>
    <t>56-23-5</t>
  </si>
  <si>
    <t>23/24/25-40-48/23-52/53-59</t>
  </si>
  <si>
    <t>23-36/37-45-59-61</t>
  </si>
  <si>
    <r>
      <t xml:space="preserve">Xn, N: 0,2 %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1 %</t>
    </r>
  </si>
  <si>
    <t>Tetrachlorogold(III)-säure</t>
  </si>
  <si>
    <t>Goldchlorid</t>
  </si>
  <si>
    <t xml:space="preserve">(Merck)  </t>
  </si>
  <si>
    <t>16961-25-4</t>
  </si>
  <si>
    <t>34-43</t>
  </si>
  <si>
    <t>Tetrahydrofuran</t>
  </si>
  <si>
    <t>THF</t>
  </si>
  <si>
    <t>109-99-9</t>
  </si>
  <si>
    <t>11-19-36/37</t>
  </si>
  <si>
    <t>16-29-33</t>
  </si>
  <si>
    <t>Tetralin</t>
  </si>
  <si>
    <t>119-64-2</t>
  </si>
  <si>
    <t>19-36/38-51/53</t>
  </si>
  <si>
    <t>54827-17-7</t>
  </si>
  <si>
    <t>26-36 </t>
  </si>
  <si>
    <t>110-18-9</t>
  </si>
  <si>
    <t>16-26-36/37/39-45</t>
  </si>
  <si>
    <t>Thallium</t>
  </si>
  <si>
    <t>7440-28-0</t>
  </si>
  <si>
    <t>26/28-33-53</t>
  </si>
  <si>
    <t>13-28-45-61</t>
  </si>
  <si>
    <t>Thalliumacetat</t>
  </si>
  <si>
    <t>563-68-8</t>
  </si>
  <si>
    <t>26/28-33-51/53</t>
  </si>
  <si>
    <r>
      <t xml:space="preserve">T: 1%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7 %</t>
    </r>
  </si>
  <si>
    <t>Thallium(I)-sulfat</t>
  </si>
  <si>
    <t>7446-18-6</t>
  </si>
  <si>
    <t>28-38-48/25-51/53</t>
  </si>
  <si>
    <t>13-36/37-45-61</t>
  </si>
  <si>
    <t>Thioacetamid</t>
  </si>
  <si>
    <t>62-55-5</t>
  </si>
  <si>
    <t>45-22-36/38-52/53</t>
  </si>
  <si>
    <t>Thioglykolsäure</t>
  </si>
  <si>
    <t>68-11-1</t>
  </si>
  <si>
    <t>23/24/25-34</t>
  </si>
  <si>
    <t>25-27-28-45</t>
  </si>
  <si>
    <r>
      <t xml:space="preserve">Xn R20/21/22: 0,2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2 %</t>
    </r>
  </si>
  <si>
    <t>Thioharnstoff</t>
  </si>
  <si>
    <t>62-56-6</t>
  </si>
  <si>
    <t>22-40-51/53-63</t>
  </si>
  <si>
    <r>
      <t>K3, 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3</t>
    </r>
  </si>
  <si>
    <t>Thionylchlorid</t>
  </si>
  <si>
    <t>Sulfinylchlorid</t>
  </si>
  <si>
    <t>7719-09-7</t>
  </si>
  <si>
    <t>14-20/22-29-35</t>
  </si>
  <si>
    <r>
      <t xml:space="preserve">Xi: R36/37/38 1%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5%</t>
    </r>
  </si>
  <si>
    <t xml:space="preserve">Thorin </t>
  </si>
  <si>
    <t>Octahydrat</t>
  </si>
  <si>
    <t>3688-92-4</t>
  </si>
  <si>
    <t>16-26-43-36/37</t>
  </si>
  <si>
    <t>Bariumacetat</t>
  </si>
  <si>
    <t>543-80-6</t>
  </si>
  <si>
    <t>20/22</t>
  </si>
  <si>
    <t>0,5 (E)</t>
  </si>
  <si>
    <r>
      <t xml:space="preserve">Xn: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1%</t>
    </r>
  </si>
  <si>
    <t>Bariumcarbonat</t>
  </si>
  <si>
    <t>513-77-9</t>
  </si>
  <si>
    <t xml:space="preserve">Bariumchlorat </t>
  </si>
  <si>
    <t>Monohydrat</t>
  </si>
  <si>
    <t>10294-38-9</t>
  </si>
  <si>
    <t>9-20/22</t>
  </si>
  <si>
    <t>13-27</t>
  </si>
  <si>
    <t xml:space="preserve">- S </t>
  </si>
  <si>
    <t xml:space="preserve">Bariumchlorid </t>
  </si>
  <si>
    <t>Dihydrat</t>
  </si>
  <si>
    <t>10326-27-9</t>
  </si>
  <si>
    <t>20-25</t>
  </si>
  <si>
    <r>
      <t xml:space="preserve">T: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25%</t>
    </r>
  </si>
  <si>
    <t>Bariumchromat</t>
  </si>
  <si>
    <t xml:space="preserve">Barytgelb, Gelber </t>
  </si>
  <si>
    <t>Ultramarin</t>
  </si>
  <si>
    <t>10294-40-3</t>
  </si>
  <si>
    <t>Bariumhydroxid Octahydrat</t>
  </si>
  <si>
    <r>
      <t xml:space="preserve">Xi R 36/37/38: 1 %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5 %</t>
    </r>
  </si>
  <si>
    <t>Titan(IV)-chlorid</t>
  </si>
  <si>
    <t>Titantetrachlorid</t>
  </si>
  <si>
    <t>7550-45-0</t>
  </si>
  <si>
    <r>
      <t xml:space="preserve">Xi R36/37/38: 5 %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10 %</t>
    </r>
  </si>
  <si>
    <r>
      <t>o</t>
    </r>
    <r>
      <rPr>
        <sz val="10"/>
        <rFont val="Arial"/>
        <family val="2"/>
      </rPr>
      <t>-Tolidin</t>
    </r>
  </si>
  <si>
    <t>119-93-7</t>
  </si>
  <si>
    <r>
      <t>m</t>
    </r>
    <r>
      <rPr>
        <sz val="10"/>
        <rFont val="Arial"/>
        <family val="2"/>
      </rPr>
      <t>-Toluidin</t>
    </r>
  </si>
  <si>
    <t>108-44-1</t>
  </si>
  <si>
    <t>23/24/25-33-50</t>
  </si>
  <si>
    <r>
      <t>o</t>
    </r>
    <r>
      <rPr>
        <sz val="10"/>
        <rFont val="Arial"/>
        <family val="2"/>
      </rPr>
      <t>-Toluidin</t>
    </r>
  </si>
  <si>
    <t>95-53-4</t>
  </si>
  <si>
    <t>45-23/25-36-50</t>
  </si>
  <si>
    <r>
      <t>p</t>
    </r>
    <r>
      <rPr>
        <sz val="10"/>
        <rFont val="Arial"/>
        <family val="2"/>
      </rPr>
      <t>-Toluidin</t>
    </r>
  </si>
  <si>
    <t>106-49-0</t>
  </si>
  <si>
    <t>23/24/25-36-40-43-50</t>
  </si>
  <si>
    <t>K3, S, H</t>
  </si>
  <si>
    <t>Toluol</t>
  </si>
  <si>
    <t>108-88-3</t>
  </si>
  <si>
    <t>11-38-48/20-63-65-67</t>
  </si>
  <si>
    <t>36/37-62</t>
  </si>
  <si>
    <r>
      <t>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3, H</t>
    </r>
  </si>
  <si>
    <r>
      <t xml:space="preserve">Xn R 63: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5 %</t>
    </r>
  </si>
  <si>
    <t>6192-52-5</t>
  </si>
  <si>
    <t>26-37</t>
  </si>
  <si>
    <r>
      <t xml:space="preserve">Xi: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20 % </t>
    </r>
  </si>
  <si>
    <r>
      <t>o</t>
    </r>
    <r>
      <rPr>
        <sz val="10"/>
        <rFont val="Arial"/>
        <family val="2"/>
      </rPr>
      <t>-Toluylsäure</t>
    </r>
  </si>
  <si>
    <t>118-90-1</t>
  </si>
  <si>
    <t>Trichloressigsäure</t>
  </si>
  <si>
    <t>76-03-9</t>
  </si>
  <si>
    <t>35-50/53</t>
  </si>
  <si>
    <r>
      <t xml:space="preserve">C: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5 %</t>
    </r>
  </si>
  <si>
    <t>1,1,1-Trichlorethan</t>
  </si>
  <si>
    <t>71-55-6</t>
  </si>
  <si>
    <t>20-59</t>
  </si>
  <si>
    <t>24/25-59-61</t>
  </si>
  <si>
    <t>1,1,2-Trichlorethan</t>
  </si>
  <si>
    <t>79-00-5</t>
  </si>
  <si>
    <t>20/21/22-40-66</t>
  </si>
  <si>
    <t>9-36/37-46</t>
  </si>
  <si>
    <t>1,1,2-Trichlorethen</t>
  </si>
  <si>
    <t>TRI</t>
  </si>
  <si>
    <t>79-01-6</t>
  </si>
  <si>
    <t>45-36/38-52/53-67</t>
  </si>
  <si>
    <t>Trichlormethan</t>
  </si>
  <si>
    <t>Chloroform</t>
  </si>
  <si>
    <t>67-66-3</t>
  </si>
  <si>
    <t>22-38-40-48/20/22</t>
  </si>
  <si>
    <t>-S, -w, oL</t>
  </si>
  <si>
    <t>2,4,6-Trichlor­phenol</t>
  </si>
  <si>
    <t>88-06-2</t>
  </si>
  <si>
    <t>22-36/38-40-50/53</t>
  </si>
  <si>
    <t>36/37-60-61</t>
  </si>
  <si>
    <r>
      <t>a,a,a</t>
    </r>
    <r>
      <rPr>
        <sz val="10"/>
        <rFont val="Arial"/>
        <family val="2"/>
      </rPr>
      <t>-Trichlortoluol</t>
    </r>
  </si>
  <si>
    <t>98-07-7</t>
  </si>
  <si>
    <t>45-22-23-37/38-41</t>
  </si>
  <si>
    <r>
      <t xml:space="preserve">K2: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0,01 %</t>
    </r>
  </si>
  <si>
    <t>R 113</t>
  </si>
  <si>
    <t>76-13-1</t>
  </si>
  <si>
    <t>51/53-59</t>
  </si>
  <si>
    <t>Triethanolamin</t>
  </si>
  <si>
    <t>102-71-6</t>
  </si>
  <si>
    <t>637-39-8</t>
  </si>
  <si>
    <t>Triethylamin</t>
  </si>
  <si>
    <t>121-44-8</t>
  </si>
  <si>
    <r>
      <t xml:space="preserve">Xi R36/37/38: 1 %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5 %</t>
    </r>
  </si>
  <si>
    <t>Pyrogallol</t>
  </si>
  <si>
    <t>87-66-1</t>
  </si>
  <si>
    <t>20/21/22-52/53-68</t>
  </si>
  <si>
    <r>
      <t xml:space="preserve">Xn R68: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1 %</t>
    </r>
  </si>
  <si>
    <t>Triiodmethan</t>
  </si>
  <si>
    <t>Trimethylamin</t>
  </si>
  <si>
    <t>75-50-3</t>
  </si>
  <si>
    <r>
      <t xml:space="preserve">Xi R36: 0,5%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5 %</t>
    </r>
  </si>
  <si>
    <t>593-81-7</t>
  </si>
  <si>
    <t>Mesitylen</t>
  </si>
  <si>
    <t>108-67-8</t>
  </si>
  <si>
    <r>
      <t xml:space="preserve">R52/53: 2,5 %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25 %</t>
    </r>
  </si>
  <si>
    <t>1,3,5-Trinitrobenzol</t>
  </si>
  <si>
    <t>99-35-4</t>
  </si>
  <si>
    <t>O, T+, N </t>
  </si>
  <si>
    <t>3-26/27/28-33-50/53 </t>
  </si>
  <si>
    <t>28-36/37-45-60-61 </t>
  </si>
  <si>
    <t>Trinitrokresol</t>
  </si>
  <si>
    <t>Isomere</t>
  </si>
  <si>
    <t>28905-71-7</t>
  </si>
  <si>
    <t>2-4-20/21/22</t>
  </si>
  <si>
    <t>2,4,6-Trinitrotoluol</t>
  </si>
  <si>
    <t>TNT</t>
  </si>
  <si>
    <t>118-96-7</t>
  </si>
  <si>
    <t>2-23/24/25-33-51/53</t>
  </si>
  <si>
    <t>35-45-61</t>
  </si>
  <si>
    <t>Trioxan</t>
  </si>
  <si>
    <t>110-88-3</t>
  </si>
  <si>
    <t>11-37-63</t>
  </si>
  <si>
    <t>Triphenylchlormethan</t>
  </si>
  <si>
    <t>Tritylchlorid</t>
  </si>
  <si>
    <t>76-83-5</t>
  </si>
  <si>
    <t>Triphenylmethan</t>
  </si>
  <si>
    <t>Tritan</t>
  </si>
  <si>
    <t>519-73-3</t>
  </si>
  <si>
    <t>Trypsin</t>
  </si>
  <si>
    <t>9002-07-7</t>
  </si>
  <si>
    <t>L(-)-Tryptophan</t>
  </si>
  <si>
    <t>73-22-3</t>
  </si>
  <si>
    <t>L-Tyrosin</t>
  </si>
  <si>
    <t>60-18-4</t>
  </si>
  <si>
    <t>Undecan</t>
  </si>
  <si>
    <t>1120-21-4</t>
  </si>
  <si>
    <t>6159-44-0</t>
  </si>
  <si>
    <t>20/21-45-61</t>
  </si>
  <si>
    <t>Urease</t>
  </si>
  <si>
    <t>9002-13-5</t>
  </si>
  <si>
    <t>Urethan</t>
  </si>
  <si>
    <t>Ethylcarbamat</t>
  </si>
  <si>
    <t>51-79-6</t>
  </si>
  <si>
    <t>DL-Valin</t>
  </si>
  <si>
    <t>516-06-3</t>
  </si>
  <si>
    <t>Vanadium(V)-oxid</t>
  </si>
  <si>
    <t>1314-62-1</t>
  </si>
  <si>
    <t>20/22-37-48/23-51/53-63-68</t>
  </si>
  <si>
    <t>36/37-38-45-61</t>
  </si>
  <si>
    <r>
      <t>M3, 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3</t>
    </r>
  </si>
  <si>
    <t>0,05 A</t>
  </si>
  <si>
    <t>Vanillin</t>
  </si>
  <si>
    <t>121-33-5</t>
  </si>
  <si>
    <t>Wasser Aqua dest.</t>
  </si>
  <si>
    <t>- entmineralisiertes Wasser -</t>
  </si>
  <si>
    <t>Wasserstoff</t>
  </si>
  <si>
    <t>1333-74-0</t>
  </si>
  <si>
    <t>Wasserstoffperoxid</t>
  </si>
  <si>
    <t>w &gt; 70 %</t>
  </si>
  <si>
    <t>7722-84-1</t>
  </si>
  <si>
    <t>5-8-20/22-35</t>
  </si>
  <si>
    <t>17-26-28-36/37/39-45</t>
  </si>
  <si>
    <r>
      <t xml:space="preserve">Xi R36: 5 % </t>
    </r>
    <r>
      <rPr>
        <u val="single"/>
        <sz val="10"/>
        <rFont val="Arial"/>
        <family val="2"/>
      </rPr>
      <t xml:space="preserve">&lt; </t>
    </r>
    <r>
      <rPr>
        <sz val="10"/>
        <rFont val="Arial"/>
        <family val="2"/>
      </rPr>
      <t>w &lt; 8%</t>
    </r>
  </si>
  <si>
    <t>L(+)-Weinsäure</t>
  </si>
  <si>
    <t>87-69-4</t>
  </si>
  <si>
    <t>24-25</t>
  </si>
  <si>
    <t>Wolfram(VI)-oxid</t>
  </si>
  <si>
    <t>1314-35-8</t>
  </si>
  <si>
    <t>Wolfram</t>
  </si>
  <si>
    <t xml:space="preserve">Starck </t>
  </si>
  <si>
    <t>7440-33-7</t>
  </si>
  <si>
    <t>Woods Metall</t>
  </si>
  <si>
    <t>Bi 50%, Cd 12,5%, Pb 25%, Sn 12,5%</t>
  </si>
  <si>
    <t>8049-22-7</t>
  </si>
  <si>
    <t>20/22-33 </t>
  </si>
  <si>
    <t>13-20/21 </t>
  </si>
  <si>
    <t>Xylenolorange</t>
  </si>
  <si>
    <t>Tetranatriumsalz</t>
  </si>
  <si>
    <t>3618-43-7</t>
  </si>
  <si>
    <t>Xylol</t>
  </si>
  <si>
    <t>1330-20-7</t>
  </si>
  <si>
    <t>10-20/21-38</t>
  </si>
  <si>
    <r>
      <t xml:space="preserve">Xn R 20/21: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12,5%</t>
    </r>
  </si>
  <si>
    <t>D(+)-Xylose</t>
  </si>
  <si>
    <t>58-86-6</t>
  </si>
  <si>
    <t>Yttriumoxid</t>
  </si>
  <si>
    <t>1314-36-9</t>
  </si>
  <si>
    <t>Zimtaldehyd</t>
  </si>
  <si>
    <t>104-55-2</t>
  </si>
  <si>
    <t>38-43</t>
  </si>
  <si>
    <r>
      <t xml:space="preserve">Xi:R 43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1 %</t>
    </r>
  </si>
  <si>
    <t>Zimtalkohol</t>
  </si>
  <si>
    <r>
      <t>trans-</t>
    </r>
    <r>
      <rPr>
        <sz val="10"/>
        <rFont val="Arial"/>
        <family val="2"/>
      </rPr>
      <t>3</t>
    </r>
    <r>
      <rPr>
        <i/>
        <sz val="10"/>
        <rFont val="Arial"/>
        <family val="2"/>
      </rPr>
      <t>-</t>
    </r>
    <r>
      <rPr>
        <sz val="10"/>
        <rFont val="Arial"/>
        <family val="2"/>
      </rPr>
      <t>Phenyl-2-propen-1-ol</t>
    </r>
  </si>
  <si>
    <t>104-54-1</t>
  </si>
  <si>
    <t>22-43</t>
  </si>
  <si>
    <t>Zimtsäure</t>
  </si>
  <si>
    <t>140-10-3</t>
  </si>
  <si>
    <t>siehe Ethylcinnamat</t>
  </si>
  <si>
    <t>Zink</t>
  </si>
  <si>
    <t>nicht stabilisiert</t>
  </si>
  <si>
    <t>7440-66-6</t>
  </si>
  <si>
    <t>F, N</t>
  </si>
  <si>
    <t>15-17-50/53</t>
  </si>
  <si>
    <t>43-46-60-61</t>
  </si>
  <si>
    <r>
      <t xml:space="preserve">2 (Korngröße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1mm)</t>
    </r>
  </si>
  <si>
    <r>
      <t xml:space="preserve">2 (Korngröße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1mm) </t>
    </r>
  </si>
  <si>
    <t xml:space="preserve">Zinkacetat </t>
  </si>
  <si>
    <t>5970-45-6</t>
  </si>
  <si>
    <t>Zinkbromid</t>
  </si>
  <si>
    <t>7699-45-8</t>
  </si>
  <si>
    <t>Zinkhydroxidcarbonat</t>
  </si>
  <si>
    <t>5263-02-5</t>
  </si>
  <si>
    <t>Zinkchlorid</t>
  </si>
  <si>
    <t>7646-85-7</t>
  </si>
  <si>
    <r>
      <t xml:space="preserve">R52/53: 0,25 %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2,5 %</t>
    </r>
  </si>
  <si>
    <t>Zinkchromat</t>
  </si>
  <si>
    <t>13530-65-9</t>
  </si>
  <si>
    <t>45-22-43-50/53</t>
  </si>
  <si>
    <t>Zinkiodid</t>
  </si>
  <si>
    <t>10139-47-6</t>
  </si>
  <si>
    <t xml:space="preserve">Zinknitrat </t>
  </si>
  <si>
    <t>10196-18-6</t>
  </si>
  <si>
    <t>Zinkoxid</t>
  </si>
  <si>
    <t>1314-13-2</t>
  </si>
  <si>
    <t xml:space="preserve">Zinksulfat </t>
  </si>
  <si>
    <t>7446-19-7</t>
  </si>
  <si>
    <t>22-41-50/53</t>
  </si>
  <si>
    <t>22-26-39-46-60-61</t>
  </si>
  <si>
    <t>13986-24-8</t>
  </si>
  <si>
    <t>Heptahydrat</t>
  </si>
  <si>
    <t>7446-20-0</t>
  </si>
  <si>
    <t>Zinksulfid</t>
  </si>
  <si>
    <t>1314-98-3</t>
  </si>
  <si>
    <t>Zinn</t>
  </si>
  <si>
    <t>7440-31-5</t>
  </si>
  <si>
    <t>Zinn(II)-chlorid</t>
  </si>
  <si>
    <t>7772-99-8</t>
  </si>
  <si>
    <t>24-26-37</t>
  </si>
  <si>
    <t>8 E</t>
  </si>
  <si>
    <t>Zinn(II)-chlorid  Dihydrat</t>
  </si>
  <si>
    <t>10025-69-1</t>
  </si>
  <si>
    <t>Zinn(IV)-chlorid</t>
  </si>
  <si>
    <t>Zinntetrachlorid</t>
  </si>
  <si>
    <t>7646-78-8</t>
  </si>
  <si>
    <t>7/8-26-45-61</t>
  </si>
  <si>
    <t>Zinn(IV)-oxid</t>
  </si>
  <si>
    <t>18282-10-5</t>
  </si>
  <si>
    <t>Zirkonium</t>
  </si>
  <si>
    <t>7440-67-7</t>
  </si>
  <si>
    <t xml:space="preserve">Zirkonylchlorid </t>
  </si>
  <si>
    <t>Zirkonium(IV)-oxidchlorid</t>
  </si>
  <si>
    <t>13520-92-8</t>
  </si>
  <si>
    <t>Diphenylmethan-4,4’-diisocyanat</t>
  </si>
  <si>
    <t>MDI</t>
  </si>
  <si>
    <t>101-68-8</t>
  </si>
  <si>
    <t>20-36/37/38-40-42/43-48/20</t>
  </si>
  <si>
    <t>23-36/37-45</t>
  </si>
  <si>
    <t>K3, H, S</t>
  </si>
  <si>
    <t>1; =2=</t>
  </si>
  <si>
    <t>102-08-9</t>
  </si>
  <si>
    <t>Dithiooxamid</t>
  </si>
  <si>
    <t>Rubeanwasserstoff (Merck)</t>
  </si>
  <si>
    <t>79-40-3</t>
  </si>
  <si>
    <t>Dithizon</t>
  </si>
  <si>
    <t>60-10-6</t>
  </si>
  <si>
    <r>
      <t>n</t>
    </r>
    <r>
      <rPr>
        <sz val="10"/>
        <rFont val="Arial"/>
        <family val="2"/>
      </rPr>
      <t>-Dodecan</t>
    </r>
  </si>
  <si>
    <t>112-40-3</t>
  </si>
  <si>
    <t>Dodecan-1-ol</t>
  </si>
  <si>
    <t>Arcros Organics</t>
  </si>
  <si>
    <t>112-53-8</t>
  </si>
  <si>
    <t>36/38-50/53</t>
  </si>
  <si>
    <t>26/29-37/39-61</t>
  </si>
  <si>
    <t>Dodecylsulfat</t>
  </si>
  <si>
    <t>Natriumlaurylsulfat (Merck)</t>
  </si>
  <si>
    <t>151-21-3</t>
  </si>
  <si>
    <t>11-21/22-36/37/38</t>
  </si>
  <si>
    <t>Eisen(II)-chlorid Tetrahydrat</t>
  </si>
  <si>
    <t>13478-10-9</t>
  </si>
  <si>
    <t>22-38-41</t>
  </si>
  <si>
    <t>Eisen(II)-oxalat Dihydrat</t>
  </si>
  <si>
    <t>6047-25-2</t>
  </si>
  <si>
    <t>Eisen(II)-oxid</t>
  </si>
  <si>
    <t>1345-25-1</t>
  </si>
  <si>
    <t>Eisen(II)-sulfat Heptahydrat</t>
  </si>
  <si>
    <t>7782-63-0</t>
  </si>
  <si>
    <t>22-36/38</t>
  </si>
  <si>
    <t>Eisen(III)-chlorid Hexahydrat</t>
  </si>
  <si>
    <t>10025-77-1</t>
  </si>
  <si>
    <t>7705-08-0</t>
  </si>
  <si>
    <t>Eisen(III)-nitrat Nonahydrat</t>
  </si>
  <si>
    <t>7782-61-8</t>
  </si>
  <si>
    <t>Eisen(III)-oxid</t>
  </si>
  <si>
    <t>1309-37-1</t>
  </si>
  <si>
    <t xml:space="preserve">Eisen(III)-sulfat </t>
  </si>
  <si>
    <t>10028-22-5</t>
  </si>
  <si>
    <t>15244-10-7</t>
  </si>
  <si>
    <t>22-36-37</t>
  </si>
  <si>
    <t>Eisen</t>
  </si>
  <si>
    <t>7439-89-6</t>
  </si>
  <si>
    <t>16-33-36/37</t>
  </si>
  <si>
    <t>Wolle</t>
  </si>
  <si>
    <t>Eisen(II)-sulfid</t>
  </si>
  <si>
    <t>Sigma-Aldrich</t>
  </si>
  <si>
    <t>1317-37-9</t>
  </si>
  <si>
    <t>N </t>
  </si>
  <si>
    <t>31-50 </t>
  </si>
  <si>
    <t>60-61 </t>
  </si>
  <si>
    <t xml:space="preserve">Eosin </t>
  </si>
  <si>
    <t>C.I. 45380 (Merck)</t>
  </si>
  <si>
    <t>17372-87-1</t>
  </si>
  <si>
    <t>nach Ehrlich  (Roth)</t>
  </si>
  <si>
    <t>67-63-0</t>
  </si>
  <si>
    <t>11-36-67</t>
  </si>
  <si>
    <t>7-16-24/25-26</t>
  </si>
  <si>
    <t>Eosinscharlach</t>
  </si>
  <si>
    <t xml:space="preserve">Eosin B </t>
  </si>
  <si>
    <t>C.I. 45400 (Merck)</t>
  </si>
  <si>
    <t>548-24-3</t>
  </si>
  <si>
    <t>Erdöl</t>
  </si>
  <si>
    <t>Rohöl</t>
  </si>
  <si>
    <t>8002-05-9</t>
  </si>
  <si>
    <t>Eriochromschwarz T</t>
  </si>
  <si>
    <t>C.I.14645 (Merck)</t>
  </si>
  <si>
    <t>1787-61-7</t>
  </si>
  <si>
    <t>36-51/53</t>
  </si>
  <si>
    <t>Erythrosin B</t>
  </si>
  <si>
    <t>C.I. 45430 (Merck)</t>
  </si>
  <si>
    <t>16423-68-0</t>
  </si>
  <si>
    <t>Essigsäure</t>
  </si>
  <si>
    <t>w = 100%, Eisessig</t>
  </si>
  <si>
    <t>64-19-7</t>
  </si>
  <si>
    <t>10-35</t>
  </si>
  <si>
    <t>"-"</t>
  </si>
  <si>
    <t>22-24-41-43</t>
  </si>
  <si>
    <t>24-26-37/39-45</t>
  </si>
  <si>
    <t>Dieselkraftstoff</t>
  </si>
  <si>
    <t>68334-30-5</t>
  </si>
  <si>
    <t>Diethylamin</t>
  </si>
  <si>
    <t>109-89-7</t>
  </si>
  <si>
    <t>=2=</t>
  </si>
  <si>
    <r>
      <t xml:space="preserve">Xi R36/37/38: 1%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5%</t>
    </r>
  </si>
  <si>
    <t>100-37-8</t>
  </si>
  <si>
    <t>10-20/21/22-34</t>
  </si>
  <si>
    <t>25-26-36/37/39-45</t>
  </si>
  <si>
    <r>
      <t xml:space="preserve">Xi R36/37/38: 5%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10%</t>
    </r>
  </si>
  <si>
    <t>Diethylenglykol</t>
  </si>
  <si>
    <t>111-46-6</t>
  </si>
  <si>
    <t>Diethylether</t>
  </si>
  <si>
    <t>60-29-7</t>
  </si>
  <si>
    <t>12-19-22-66-67</t>
  </si>
  <si>
    <t>9-16-29-33</t>
  </si>
  <si>
    <t>Diethylmalonat</t>
  </si>
  <si>
    <t>(BASF)</t>
  </si>
  <si>
    <t>105-53-3</t>
  </si>
  <si>
    <t>Diethyloxalat</t>
  </si>
  <si>
    <t>Oxalsäurediethylester</t>
  </si>
  <si>
    <t>95-92-1</t>
  </si>
  <si>
    <t>Diethylsulfat</t>
  </si>
  <si>
    <t>64-67-5</t>
  </si>
  <si>
    <t>45-46-20/21/22-34</t>
  </si>
  <si>
    <t>K2, M2</t>
  </si>
  <si>
    <t>Brenzkatechin</t>
  </si>
  <si>
    <t>120-80-9</t>
  </si>
  <si>
    <t>22-26-37</t>
  </si>
  <si>
    <t>Resorcin</t>
  </si>
  <si>
    <t>108-46-3</t>
  </si>
  <si>
    <t>22-36/38-50</t>
  </si>
  <si>
    <t>S, H</t>
  </si>
  <si>
    <t>20 E</t>
  </si>
  <si>
    <r>
      <t xml:space="preserve">Xn: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10% </t>
    </r>
  </si>
  <si>
    <t>Hydrochinon</t>
  </si>
  <si>
    <t>123-31-9</t>
  </si>
  <si>
    <t>22-40-41-43-68-50</t>
  </si>
  <si>
    <t>26-36/37/39-61</t>
  </si>
  <si>
    <t xml:space="preserve">K3, M3, S </t>
  </si>
  <si>
    <r>
      <t xml:space="preserve">Xn R 40: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1 %</t>
    </r>
  </si>
  <si>
    <t>26471-62-5</t>
  </si>
  <si>
    <t>26-36/37/38-40-42/43-52/53</t>
  </si>
  <si>
    <t>23-36/37-45-61</t>
  </si>
  <si>
    <t>K3, S</t>
  </si>
  <si>
    <t>1; =1=</t>
  </si>
  <si>
    <t>2,4-TDI</t>
  </si>
  <si>
    <t>584-84-9</t>
  </si>
  <si>
    <t>1; =4=</t>
  </si>
  <si>
    <t>2,6-TDI</t>
  </si>
  <si>
    <t>91-08-7</t>
  </si>
  <si>
    <r>
      <t>o</t>
    </r>
    <r>
      <rPr>
        <sz val="10"/>
        <rFont val="Arial"/>
        <family val="2"/>
      </rPr>
      <t>-Dianisidin (und Salze)</t>
    </r>
  </si>
  <si>
    <t>119-90-4</t>
  </si>
  <si>
    <t>45-22</t>
  </si>
  <si>
    <r>
      <t>N,N-Dimethyl-</t>
    </r>
    <r>
      <rPr>
        <i/>
        <sz val="10"/>
        <rFont val="Arial"/>
        <family val="2"/>
      </rPr>
      <t>p</t>
    </r>
    <r>
      <rPr>
        <sz val="10"/>
        <rFont val="Arial"/>
        <family val="2"/>
      </rPr>
      <t>-toluidin</t>
    </r>
  </si>
  <si>
    <t>99-97-8</t>
  </si>
  <si>
    <t>23/24/25-33-52/53</t>
  </si>
  <si>
    <r>
      <t xml:space="preserve">Xn R20/21/22-23: 1 %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5 %</t>
    </r>
  </si>
  <si>
    <t>127-19-5</t>
  </si>
  <si>
    <t>61-20/21</t>
  </si>
  <si>
    <r>
      <t>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3, 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2, H</t>
    </r>
  </si>
  <si>
    <r>
      <t xml:space="preserve">T R61: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5% </t>
    </r>
  </si>
  <si>
    <t>Dimethylamin</t>
  </si>
  <si>
    <t>w = 40% in Wasser (Merck)</t>
  </si>
  <si>
    <t>11-20/22-34</t>
  </si>
  <si>
    <t>Dimethylaminhydrochlorid</t>
  </si>
  <si>
    <t>Dimethyl­ammonium­chlorid (Merck)</t>
  </si>
  <si>
    <t>506-59-2</t>
  </si>
  <si>
    <t>Ehrlichs Reagens (Merck)</t>
  </si>
  <si>
    <t>100-10-7</t>
  </si>
  <si>
    <t>Dimethylgelb</t>
  </si>
  <si>
    <t>60-11-7</t>
  </si>
  <si>
    <t>25-40</t>
  </si>
  <si>
    <r>
      <t xml:space="preserve">T, R 40::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1 %</t>
    </r>
  </si>
  <si>
    <t>605-65-2</t>
  </si>
  <si>
    <t>N,N-Dimethylanilin</t>
  </si>
  <si>
    <t>121-69-7</t>
  </si>
  <si>
    <t>23/24/25-40-51/53</t>
  </si>
  <si>
    <r>
      <t xml:space="preserve">T R 40: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1%</t>
    </r>
  </si>
  <si>
    <t>N,N'-Dimethyl-9,9'-biacridiniumdinitrat</t>
  </si>
  <si>
    <t>Lucigenin (FLUKA)</t>
  </si>
  <si>
    <t>2315-97-1</t>
  </si>
  <si>
    <t>Dimethylether</t>
  </si>
  <si>
    <t>115-10-6</t>
  </si>
  <si>
    <t>bS K</t>
  </si>
  <si>
    <t>DMF</t>
  </si>
  <si>
    <t>68-12-2</t>
  </si>
  <si>
    <t>61-20/21-36</t>
  </si>
  <si>
    <r>
      <t>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2, H</t>
    </r>
  </si>
  <si>
    <t>Dimethylglyoxim</t>
  </si>
  <si>
    <t>95-45-4</t>
  </si>
  <si>
    <t>2,6-Dimethylphenol</t>
  </si>
  <si>
    <t>2,6-Xylenol </t>
  </si>
  <si>
    <t>576-26-1</t>
  </si>
  <si>
    <t>24/25-34-51/53</t>
  </si>
  <si>
    <t>Dimethylphthalat</t>
  </si>
  <si>
    <t>131-11-3</t>
  </si>
  <si>
    <t>Dimethylpropan</t>
  </si>
  <si>
    <r>
      <t>tert</t>
    </r>
    <r>
      <rPr>
        <sz val="10"/>
        <rFont val="Arial"/>
        <family val="2"/>
      </rPr>
      <t>.-Pentan</t>
    </r>
  </si>
  <si>
    <t>463-82-1</t>
  </si>
  <si>
    <t>F+, N</t>
  </si>
  <si>
    <t>12-51/53</t>
  </si>
  <si>
    <t>9-16-33-61</t>
  </si>
  <si>
    <t>Schwefelsäuredimethylester</t>
  </si>
  <si>
    <t>77-78-1</t>
  </si>
  <si>
    <t>45-25-26-34-43-68</t>
  </si>
  <si>
    <t>K2, M3, H, S</t>
  </si>
  <si>
    <t>Dimethylsulfoxid</t>
  </si>
  <si>
    <t>DMSO (Merck)</t>
  </si>
  <si>
    <t>67-68-5</t>
  </si>
  <si>
    <t>Dinickeltrioxid</t>
  </si>
  <si>
    <t>1314-06-3</t>
  </si>
  <si>
    <t>49-43-48/23-53</t>
  </si>
  <si>
    <t>119-26-6</t>
  </si>
  <si>
    <t>2-22-36/38</t>
  </si>
  <si>
    <t>35-48</t>
  </si>
  <si>
    <t>dbS SSG</t>
  </si>
  <si>
    <r>
      <t>4,6-Dinitro-</t>
    </r>
    <r>
      <rPr>
        <i/>
        <sz val="10"/>
        <rFont val="Arial"/>
        <family val="2"/>
      </rPr>
      <t>o</t>
    </r>
    <r>
      <rPr>
        <sz val="10"/>
        <rFont val="Arial"/>
        <family val="2"/>
      </rPr>
      <t>-kresol</t>
    </r>
  </si>
  <si>
    <t>534-52-1</t>
  </si>
  <si>
    <t>26/27/28-38-41-43-44-50/53-68</t>
  </si>
  <si>
    <t>36/37-45-60-61</t>
  </si>
  <si>
    <t>2,4-Dinitroanilin</t>
  </si>
  <si>
    <t>97-02-9</t>
  </si>
  <si>
    <t>26/27/28-33-51/53</t>
  </si>
  <si>
    <t>1,2-Dinitrobenzol</t>
  </si>
  <si>
    <t>528-29-0</t>
  </si>
  <si>
    <t>26/27/28-33-50/53</t>
  </si>
  <si>
    <r>
      <t xml:space="preserve">T: 1 %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7%</t>
    </r>
  </si>
  <si>
    <t>1,3-Dinitrobenzol</t>
  </si>
  <si>
    <t>99-65-0</t>
  </si>
  <si>
    <r>
      <t xml:space="preserve">T: 1%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7%</t>
    </r>
  </si>
  <si>
    <t>1,4-Dinitrobenzol</t>
  </si>
  <si>
    <t>100-25-4</t>
  </si>
  <si>
    <r>
      <t xml:space="preserve">T: 1  % </t>
    </r>
    <r>
      <rPr>
        <u val="single"/>
        <sz val="10"/>
        <rFont val="Arial"/>
        <family val="2"/>
      </rPr>
      <t xml:space="preserve">&lt; </t>
    </r>
    <r>
      <rPr>
        <sz val="10"/>
        <rFont val="Arial"/>
        <family val="2"/>
      </rPr>
      <t>w &lt; 7 %</t>
    </r>
  </si>
  <si>
    <t>Aldrich</t>
  </si>
  <si>
    <t>605-71-0</t>
  </si>
  <si>
    <t>41-43-52/53 </t>
  </si>
  <si>
    <t>26-36/37/39 </t>
  </si>
  <si>
    <t>Dinitrophenole</t>
  </si>
  <si>
    <t>Isomerengemisch</t>
  </si>
  <si>
    <t>25550-58-7</t>
  </si>
  <si>
    <t>28-37-45-60-61</t>
  </si>
  <si>
    <t>609-99-4</t>
  </si>
  <si>
    <t>22-25</t>
  </si>
  <si>
    <t>2,4-Dinitrotoluol</t>
  </si>
  <si>
    <t>121-14-2</t>
  </si>
  <si>
    <t>45-23/24/25-48/22-50/53-62-68</t>
  </si>
  <si>
    <r>
      <t>K2. M3, 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3, H</t>
    </r>
  </si>
  <si>
    <t>2,6-Dinitrotoluol</t>
  </si>
  <si>
    <t>606-20-2</t>
  </si>
  <si>
    <t>45-23/24/25-48/22-52/53-62-68</t>
  </si>
  <si>
    <r>
      <t>K2, M3, 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3, H</t>
    </r>
  </si>
  <si>
    <t>Dinonylphthalat</t>
  </si>
  <si>
    <t>84-76-4</t>
  </si>
  <si>
    <t>Dioctylphthalat</t>
  </si>
  <si>
    <t>117-84-0</t>
  </si>
  <si>
    <t>1,4-Dioxan</t>
  </si>
  <si>
    <t>123-91-1</t>
  </si>
  <si>
    <t>11-19-36/37-40-66</t>
  </si>
  <si>
    <t>9-16-36/37-46</t>
  </si>
  <si>
    <r>
      <t xml:space="preserve">Xn R40: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1% </t>
    </r>
  </si>
  <si>
    <t>Diphenylamin</t>
  </si>
  <si>
    <t>122-39-4</t>
  </si>
  <si>
    <t xml:space="preserve">Diphenylamin-4-sulfonsäure </t>
  </si>
  <si>
    <t>6152-67-6</t>
  </si>
  <si>
    <t>140-22-7</t>
  </si>
  <si>
    <t>Stoffbezeichnung</t>
  </si>
  <si>
    <t xml:space="preserve">Bemerkung zu </t>
  </si>
  <si>
    <t>Spalte 1</t>
  </si>
  <si>
    <t>CAS-Nr.</t>
  </si>
  <si>
    <t>Kennbuch-staben</t>
  </si>
  <si>
    <t>R-Sätze</t>
  </si>
  <si>
    <t>S-Sätze</t>
  </si>
  <si>
    <t>Gefahren</t>
  </si>
  <si>
    <t>in mg/m³</t>
  </si>
  <si>
    <t>in ml/m³</t>
  </si>
  <si>
    <t>Aufbewahrung</t>
  </si>
  <si>
    <t>Einstufung</t>
  </si>
  <si>
    <t>Verdünnung</t>
  </si>
  <si>
    <t>Mengen</t>
  </si>
  <si>
    <t>Dodecahydrat</t>
  </si>
  <si>
    <t>Merck</t>
  </si>
  <si>
    <t>7784-26-1</t>
  </si>
  <si>
    <t>+</t>
  </si>
  <si>
    <t>---</t>
  </si>
  <si>
    <t>GE A</t>
  </si>
  <si>
    <t>Ammoniumbenzoat</t>
  </si>
  <si>
    <t>1863-63-4</t>
  </si>
  <si>
    <t>Xn</t>
  </si>
  <si>
    <t>- S 4.  Klasse</t>
  </si>
  <si>
    <t>G1</t>
  </si>
  <si>
    <t>Ammoniumbromid</t>
  </si>
  <si>
    <t>Alfa Aesar</t>
  </si>
  <si>
    <t>12124-97-9</t>
  </si>
  <si>
    <t>Xi</t>
  </si>
  <si>
    <t>36/38</t>
  </si>
  <si>
    <t>G4</t>
  </si>
  <si>
    <t>Ammoniumcarbonat</t>
  </si>
  <si>
    <t>10361-29-2</t>
  </si>
  <si>
    <t>Ammoniumcer(IV)-nitrat</t>
  </si>
  <si>
    <t>16774-21-3</t>
  </si>
  <si>
    <t>O, Xn</t>
  </si>
  <si>
    <t>8-22-41</t>
  </si>
  <si>
    <t>17-26-39</t>
  </si>
  <si>
    <r>
      <t xml:space="preserve">Xn: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25%</t>
    </r>
  </si>
  <si>
    <t>Ammoniumcer(IV)-sulfat</t>
  </si>
  <si>
    <t>10378-47-9</t>
  </si>
  <si>
    <t>Ammoniumchlorid</t>
  </si>
  <si>
    <t>12125-02-9</t>
  </si>
  <si>
    <t>22-36</t>
  </si>
  <si>
    <t>Ammoniumchromat</t>
  </si>
  <si>
    <t>7788-98-9</t>
  </si>
  <si>
    <t>T, N</t>
  </si>
  <si>
    <t>49-43-50/53</t>
  </si>
  <si>
    <t>53-45-60-61</t>
  </si>
  <si>
    <t>K2, S</t>
  </si>
  <si>
    <t>-S, -w, oL, ESP</t>
  </si>
  <si>
    <t>dS</t>
  </si>
  <si>
    <t>V CR</t>
  </si>
  <si>
    <r>
      <t>tri</t>
    </r>
    <r>
      <rPr>
        <sz val="10"/>
        <rFont val="Arial"/>
        <family val="2"/>
      </rPr>
      <t>-Ammoniumcitrat</t>
    </r>
  </si>
  <si>
    <t>Wasserfrei</t>
  </si>
  <si>
    <t>3458-72-8</t>
  </si>
  <si>
    <t>36/37/38</t>
  </si>
  <si>
    <t>26-36</t>
  </si>
  <si>
    <t>- S 4. Klasse</t>
  </si>
  <si>
    <t>G3</t>
  </si>
  <si>
    <t>Ammoniumdichromat</t>
  </si>
  <si>
    <t>7789-09-5</t>
  </si>
  <si>
    <t>E, T+, N</t>
  </si>
  <si>
    <t>45-46-60-61-2-8-21-25-26-34-42/43-48/23-50/53</t>
  </si>
  <si>
    <t>-S, -w. oL, ESP</t>
  </si>
  <si>
    <t xml:space="preserve">dS, SSG </t>
  </si>
  <si>
    <t>V EXO</t>
  </si>
  <si>
    <t>7722-76-1</t>
  </si>
  <si>
    <t>Ammoniumeisen(III)-citrat</t>
  </si>
  <si>
    <t>1185-57-5</t>
  </si>
  <si>
    <t>Hexahydrat</t>
  </si>
  <si>
    <t>Fluka/Riedel de Haen</t>
  </si>
  <si>
    <t>7783-85-9</t>
  </si>
  <si>
    <t>K1</t>
  </si>
  <si>
    <t>K2</t>
  </si>
  <si>
    <t>K3</t>
  </si>
  <si>
    <t>M3</t>
  </si>
  <si>
    <t>H</t>
  </si>
  <si>
    <t>S</t>
  </si>
  <si>
    <t xml:space="preserve">- </t>
  </si>
  <si>
    <t>- S</t>
  </si>
  <si>
    <t>N</t>
  </si>
  <si>
    <t>bS</t>
  </si>
  <si>
    <t>dbS</t>
  </si>
  <si>
    <t>bF</t>
  </si>
  <si>
    <t>K</t>
  </si>
  <si>
    <t>D</t>
  </si>
  <si>
    <t>E</t>
  </si>
  <si>
    <t>G2</t>
  </si>
  <si>
    <t>G5</t>
  </si>
  <si>
    <t>Quecksilber</t>
  </si>
  <si>
    <t>G6</t>
  </si>
  <si>
    <t>GE</t>
  </si>
  <si>
    <t>Kohlenstoffdisulfid</t>
  </si>
  <si>
    <t>GE E</t>
  </si>
  <si>
    <t>GE F+</t>
  </si>
  <si>
    <t>GE G</t>
  </si>
  <si>
    <t>GE VA</t>
  </si>
  <si>
    <t>GEK</t>
  </si>
  <si>
    <t>GEO</t>
  </si>
  <si>
    <t>V ALH</t>
  </si>
  <si>
    <t>V AM</t>
  </si>
  <si>
    <t>V CY</t>
  </si>
  <si>
    <t>Dimethylsulfat</t>
  </si>
  <si>
    <t>V HAL</t>
  </si>
  <si>
    <t>V HF</t>
  </si>
  <si>
    <t>V HY</t>
  </si>
  <si>
    <t>V I</t>
  </si>
  <si>
    <t>V NIL</t>
  </si>
  <si>
    <t>V NIT</t>
  </si>
  <si>
    <t>V O</t>
  </si>
  <si>
    <t>V OK</t>
  </si>
  <si>
    <t>Kaliumchlorat</t>
  </si>
  <si>
    <t>V P</t>
  </si>
  <si>
    <t>Phosphor</t>
  </si>
  <si>
    <t>nwg</t>
  </si>
  <si>
    <t>4</t>
  </si>
  <si>
    <t>5</t>
  </si>
  <si>
    <t>14</t>
  </si>
  <si>
    <t>Benzylalkohol</t>
  </si>
  <si>
    <t>Brenztraubensäure</t>
  </si>
  <si>
    <t>C</t>
  </si>
  <si>
    <t>1</t>
  </si>
  <si>
    <t>2</t>
  </si>
  <si>
    <t>3</t>
  </si>
  <si>
    <t>6</t>
  </si>
  <si>
    <t>7</t>
  </si>
  <si>
    <t>8</t>
  </si>
  <si>
    <t>9</t>
  </si>
  <si>
    <t>10</t>
  </si>
  <si>
    <t>11</t>
  </si>
  <si>
    <t>12</t>
  </si>
  <si>
    <t>13</t>
  </si>
  <si>
    <t>15</t>
  </si>
  <si>
    <t>Acenaphthen</t>
  </si>
  <si>
    <t>83-32-9</t>
  </si>
  <si>
    <t>51/53</t>
  </si>
  <si>
    <t>61</t>
  </si>
  <si>
    <t>Acetaldehyd</t>
  </si>
  <si>
    <t xml:space="preserve">siehe </t>
  </si>
  <si>
    <t>111-15-9</t>
  </si>
  <si>
    <t>60-61-10-20/21/22</t>
  </si>
  <si>
    <t>7781-98-8</t>
  </si>
  <si>
    <t>Ethyl-4-aminobenzoat</t>
  </si>
  <si>
    <r>
      <t xml:space="preserve">Xi R 43: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1 %</t>
    </r>
  </si>
  <si>
    <t>120-47-8</t>
  </si>
  <si>
    <t>Ethylacetat</t>
  </si>
  <si>
    <t>Essigsäureethylester</t>
  </si>
  <si>
    <t>141-78-6</t>
  </si>
  <si>
    <t>16-26-33</t>
  </si>
  <si>
    <t>Ethylacetoacetat</t>
  </si>
  <si>
    <t>Acetessigsäureethylester (Merck)</t>
  </si>
  <si>
    <t>141-97-9</t>
  </si>
  <si>
    <t>Ethylacrylat</t>
  </si>
  <si>
    <t>Acrylsäureethylester</t>
  </si>
  <si>
    <t>140-88-5</t>
  </si>
  <si>
    <t>11-20/21/22-36/37/38-43</t>
  </si>
  <si>
    <t>9-16-33-36/37</t>
  </si>
  <si>
    <t>H, S</t>
  </si>
  <si>
    <t>557-66-4</t>
  </si>
  <si>
    <t>N-Ethylanilin</t>
  </si>
  <si>
    <t>103-69-5</t>
  </si>
  <si>
    <t>23/24/25-33</t>
  </si>
  <si>
    <t>28-37-45</t>
  </si>
  <si>
    <t>Ethylbenzoat</t>
  </si>
  <si>
    <t>Benzoesäureethylester (Merck)</t>
  </si>
  <si>
    <t>93-89-0</t>
  </si>
  <si>
    <t>Ethylbenzol</t>
  </si>
  <si>
    <t>100-41-4</t>
  </si>
  <si>
    <t>16-24/25-29</t>
  </si>
  <si>
    <t>Ethylbutyrat</t>
  </si>
  <si>
    <t>105-54-4</t>
  </si>
  <si>
    <t>Ethylcinnamat</t>
  </si>
  <si>
    <t>103-36-6</t>
  </si>
  <si>
    <t>Ethylendiamintetraessigsäure</t>
  </si>
  <si>
    <t xml:space="preserve">di-Natriumsalz </t>
  </si>
  <si>
    <t>6381-92-6</t>
  </si>
  <si>
    <t>Ethylenglykol</t>
  </si>
  <si>
    <t>107-21-1</t>
  </si>
  <si>
    <t>Ethylformiat</t>
  </si>
  <si>
    <t>Ameisensäureethylester</t>
  </si>
  <si>
    <t>109-94-4</t>
  </si>
  <si>
    <t>11-20/22-36/37</t>
  </si>
  <si>
    <t>9-16-24-26-33</t>
  </si>
  <si>
    <t>Ethylglykol</t>
  </si>
  <si>
    <t>110-80-5</t>
  </si>
  <si>
    <r>
      <t>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2, 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2, H</t>
    </r>
  </si>
  <si>
    <t>FEHLING II-Lösung</t>
  </si>
  <si>
    <t>Kaliumnatriumtartrat-Lösung, alkalisch</t>
  </si>
  <si>
    <t>1310-73-2</t>
  </si>
  <si>
    <t>FEHLING I-Lösung.</t>
  </si>
  <si>
    <t>Kupfer(II)-sulfat-Lösung</t>
  </si>
  <si>
    <t>7758-99-8</t>
  </si>
  <si>
    <t>22-36/38-50/53</t>
  </si>
  <si>
    <t>22-60-61</t>
  </si>
  <si>
    <t>Ferroin-Lösung</t>
  </si>
  <si>
    <t>52/53</t>
  </si>
  <si>
    <t>Fluor</t>
  </si>
  <si>
    <t>7782-41-4</t>
  </si>
  <si>
    <t>T+, C</t>
  </si>
  <si>
    <t>7-26-35</t>
  </si>
  <si>
    <t>9-26-28-36/37/39-45</t>
  </si>
  <si>
    <t>Fluorescein</t>
  </si>
  <si>
    <t>2321-07-5</t>
  </si>
  <si>
    <t>Fluorescein-Natrium</t>
  </si>
  <si>
    <t>Uranin Merck</t>
  </si>
  <si>
    <t>518-47-8</t>
  </si>
  <si>
    <t>Fluoressigsäure Natriumsalz</t>
  </si>
  <si>
    <t>Natrium­fluoracetat</t>
  </si>
  <si>
    <t>62-74-8</t>
  </si>
  <si>
    <t>26/27/28-50</t>
  </si>
  <si>
    <t>13-22-36/37-45-61</t>
  </si>
  <si>
    <t>Fluorwasserstoff</t>
  </si>
  <si>
    <t>Hydrogen­fluorid</t>
  </si>
  <si>
    <t>7664-39-3</t>
  </si>
  <si>
    <t>26/27/28-35</t>
  </si>
  <si>
    <t>Fluorwasserstoffsäure</t>
  </si>
  <si>
    <t>Flusssäure, w &gt; 7%</t>
  </si>
  <si>
    <t>7/9-26-36/37-45</t>
  </si>
  <si>
    <r>
      <t xml:space="preserve">Xn R20/21/22: 0,1%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1%</t>
    </r>
  </si>
  <si>
    <t>Formaldehyd-Lösung</t>
  </si>
  <si>
    <t>Methanal,  w = 37%</t>
  </si>
  <si>
    <t>50-00-0</t>
  </si>
  <si>
    <t>23/24/25-34-39-40-43</t>
  </si>
  <si>
    <t>26-36/37/39-45-51</t>
  </si>
  <si>
    <t>Formamid</t>
  </si>
  <si>
    <t>Ameisensäureamid</t>
  </si>
  <si>
    <t>75-12-7</t>
  </si>
  <si>
    <r>
      <t>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 xml:space="preserve">2 </t>
    </r>
  </si>
  <si>
    <t>D(-)-Fructose</t>
  </si>
  <si>
    <t>57-48-7</t>
  </si>
  <si>
    <t xml:space="preserve">Fuchsin </t>
  </si>
  <si>
    <t>C.I. 42510</t>
  </si>
  <si>
    <t>632-99-5</t>
  </si>
  <si>
    <t>Fumarsäure</t>
  </si>
  <si>
    <t>110-17-8</t>
  </si>
  <si>
    <t>Furan</t>
  </si>
  <si>
    <t>110-00-9</t>
  </si>
  <si>
    <t>45-12-19-20/22-38-48/22-52/53-68</t>
  </si>
  <si>
    <t>2-Furylmethanal</t>
  </si>
  <si>
    <t>Furfural, Furfurol</t>
  </si>
  <si>
    <t>98-01-1</t>
  </si>
  <si>
    <t>21-23/25-36/37/38-40</t>
  </si>
  <si>
    <t>26-36/37-45</t>
  </si>
  <si>
    <t>D(+)-Galactose</t>
  </si>
  <si>
    <t>59-23-4</t>
  </si>
  <si>
    <t xml:space="preserve">Gallussäure </t>
  </si>
  <si>
    <t>149-91-7</t>
  </si>
  <si>
    <t>Gelatine</t>
  </si>
  <si>
    <t>9000-70-8</t>
  </si>
  <si>
    <t>Gentianaviolett</t>
  </si>
  <si>
    <t>Kristallviolett</t>
  </si>
  <si>
    <t>C.I. 42555</t>
  </si>
  <si>
    <t>548-62-9</t>
  </si>
  <si>
    <t>22-40-41-50/53</t>
  </si>
  <si>
    <t>26-36/37/39-46-60-61</t>
  </si>
  <si>
    <t>K 3 </t>
  </si>
  <si>
    <t>Gerbsäure</t>
  </si>
  <si>
    <t>Tannin, Gallotannin (Merck)</t>
  </si>
  <si>
    <t>1401-55-4</t>
  </si>
  <si>
    <t>Germanium</t>
  </si>
  <si>
    <t>7440-56-4</t>
  </si>
  <si>
    <t>Gibberellinsäure</t>
  </si>
  <si>
    <t>77-06-5</t>
  </si>
  <si>
    <t>Xn </t>
  </si>
  <si>
    <t>68 </t>
  </si>
  <si>
    <t>36/37 </t>
  </si>
  <si>
    <t>Glaswolle</t>
  </si>
  <si>
    <t>für Laborarbeiten (Roth)</t>
  </si>
  <si>
    <t>65997-17-3</t>
  </si>
  <si>
    <t xml:space="preserve">D-Gluconsäure </t>
  </si>
  <si>
    <t>Natrium-D-gluconat (Merck)</t>
  </si>
  <si>
    <t>527-07-1</t>
  </si>
  <si>
    <t>D(+)-Glucose</t>
  </si>
  <si>
    <t>Dextrose (Roth)</t>
  </si>
  <si>
    <t>50-99-7</t>
  </si>
  <si>
    <t xml:space="preserve">D(+)-Glucose </t>
  </si>
  <si>
    <t>Dextrose</t>
  </si>
  <si>
    <t xml:space="preserve">(Roth) </t>
  </si>
  <si>
    <t>L-Glutaminsäure</t>
  </si>
  <si>
    <t>56-86-0</t>
  </si>
  <si>
    <t>Glutarsäure</t>
  </si>
  <si>
    <t>110-94-1</t>
  </si>
  <si>
    <t>Glutarsäureanhydrid</t>
  </si>
  <si>
    <t>108-55-4</t>
  </si>
  <si>
    <t>21-38-41</t>
  </si>
  <si>
    <t xml:space="preserve">Glycerin </t>
  </si>
  <si>
    <t>w = 86% in Wasser</t>
  </si>
  <si>
    <t>1,2,3-Propantriol (Roth)</t>
  </si>
  <si>
    <t>56-81-5</t>
  </si>
  <si>
    <t>Glycerintrinitrat</t>
  </si>
  <si>
    <t>Nitroglycerin</t>
  </si>
  <si>
    <t>55-63-0</t>
  </si>
  <si>
    <t>3-26/27/28-33-51/53</t>
  </si>
  <si>
    <t>33-35-36/37-45-61</t>
  </si>
  <si>
    <t>Glycerintripalmitat</t>
  </si>
  <si>
    <t>10-20/22-34</t>
  </si>
  <si>
    <r>
      <t xml:space="preserve">Xi: 1%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25%</t>
    </r>
  </si>
  <si>
    <t>Ethan</t>
  </si>
  <si>
    <t>74-84-0</t>
  </si>
  <si>
    <t>75-07-0</t>
  </si>
  <si>
    <t>12-36/37-40</t>
  </si>
  <si>
    <t>1, =2=</t>
  </si>
  <si>
    <t>Ethanol</t>
  </si>
  <si>
    <t>96 %ig</t>
  </si>
  <si>
    <t>64-17-5</t>
  </si>
  <si>
    <t>7-16</t>
  </si>
  <si>
    <t xml:space="preserve">Ethanol </t>
  </si>
  <si>
    <t>vergällt</t>
  </si>
  <si>
    <t xml:space="preserve">Brennspiritus </t>
  </si>
  <si>
    <t>500---</t>
  </si>
  <si>
    <t>Ethen</t>
  </si>
  <si>
    <t>Ethylen</t>
  </si>
  <si>
    <t>74-85-1</t>
  </si>
  <si>
    <t>12-67</t>
  </si>
  <si>
    <t>9-16-33-46</t>
  </si>
  <si>
    <t>Ethidiumbromid</t>
  </si>
  <si>
    <t>1239-45-8</t>
  </si>
  <si>
    <t>22-26-68</t>
  </si>
  <si>
    <t>28-36/37-45-63</t>
  </si>
  <si>
    <t>Ethin</t>
  </si>
  <si>
    <t>Acetylen</t>
  </si>
  <si>
    <t>74-86-2</t>
  </si>
  <si>
    <t>5-6-12</t>
  </si>
  <si>
    <t>2-Ethoxyethylacetat</t>
  </si>
  <si>
    <t>22-36/37/38</t>
  </si>
  <si>
    <t>Bromthymolblau</t>
  </si>
  <si>
    <t>34722-90-2</t>
  </si>
  <si>
    <t>Bromthymolblau-Lösung</t>
  </si>
  <si>
    <t>76-59-5</t>
  </si>
  <si>
    <t>2-Bromtoluol</t>
  </si>
  <si>
    <t>95-46-5</t>
  </si>
  <si>
    <t>20-51/53</t>
  </si>
  <si>
    <t>26/25-61</t>
  </si>
  <si>
    <t>3-Bromtoluol</t>
  </si>
  <si>
    <t>591-17-3</t>
  </si>
  <si>
    <t>4-Bromtoluol</t>
  </si>
  <si>
    <t>106-38-7</t>
  </si>
  <si>
    <r>
      <t>a</t>
    </r>
    <r>
      <rPr>
        <sz val="10"/>
        <rFont val="Arial"/>
        <family val="2"/>
      </rPr>
      <t>-Bromtoluol</t>
    </r>
  </si>
  <si>
    <t>Benzylbromid</t>
  </si>
  <si>
    <t>100-39-0</t>
  </si>
  <si>
    <t>- S. 4. Klasse</t>
  </si>
  <si>
    <t>Bromwasser</t>
  </si>
  <si>
    <t>w = 1%-5%</t>
  </si>
  <si>
    <t>T, Xi</t>
  </si>
  <si>
    <t>23-24-36/38</t>
  </si>
  <si>
    <t>7/9-26</t>
  </si>
  <si>
    <t>Bromwasserstoff</t>
  </si>
  <si>
    <t>10035-10-6</t>
  </si>
  <si>
    <t>35-37</t>
  </si>
  <si>
    <t>7/9-26-45</t>
  </si>
  <si>
    <t>D bS</t>
  </si>
  <si>
    <t>Bromwasserstoffsäure</t>
  </si>
  <si>
    <t>47%ig (Merck)</t>
  </si>
  <si>
    <t>EG: 035-002-01-8</t>
  </si>
  <si>
    <t>34-37</t>
  </si>
  <si>
    <t>7/9-26-36/37/39-45</t>
  </si>
  <si>
    <t>Brucin</t>
  </si>
  <si>
    <t>357-57-3</t>
  </si>
  <si>
    <t>26/28-52/53</t>
  </si>
  <si>
    <t>13-45-61</t>
  </si>
  <si>
    <r>
      <t xml:space="preserve">Xn: 0,1%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1%</t>
    </r>
  </si>
  <si>
    <t>Buta-1,3-dien</t>
  </si>
  <si>
    <t>106-99-0</t>
  </si>
  <si>
    <t>F+, T</t>
  </si>
  <si>
    <t>45-46-12</t>
  </si>
  <si>
    <t>K1, M2</t>
  </si>
  <si>
    <t>Butan</t>
  </si>
  <si>
    <t>Butadienfrei</t>
  </si>
  <si>
    <t>106-97-8</t>
  </si>
  <si>
    <t>F+</t>
  </si>
  <si>
    <t>9-16</t>
  </si>
  <si>
    <t>Butanal</t>
  </si>
  <si>
    <t>123-72-8</t>
  </si>
  <si>
    <t>9-29-33</t>
  </si>
  <si>
    <t>Butan-1,4-diol</t>
  </si>
  <si>
    <t>110-63-4</t>
  </si>
  <si>
    <t>Butan-1-ol</t>
  </si>
  <si>
    <t>71-36-3</t>
  </si>
  <si>
    <t>10-22-37/38-41-67</t>
  </si>
  <si>
    <t>7/9-13-26-37/39-46</t>
  </si>
  <si>
    <t>Butan-2-ol</t>
  </si>
  <si>
    <t>15892-23-6</t>
  </si>
  <si>
    <t>10-36/37-67</t>
  </si>
  <si>
    <t>7/9-13-24/25-26-46</t>
  </si>
  <si>
    <t>bS  bF</t>
  </si>
  <si>
    <r>
      <t>iso</t>
    </r>
    <r>
      <rPr>
        <sz val="10"/>
        <rFont val="Arial"/>
        <family val="2"/>
      </rPr>
      <t>-Butanol</t>
    </r>
  </si>
  <si>
    <t>2-Methyl-1-propanol</t>
  </si>
  <si>
    <t>78-83-1</t>
  </si>
  <si>
    <t>R: 10-37/38-41-67</t>
  </si>
  <si>
    <t>S: 7/9-13-26-37/39-46</t>
  </si>
  <si>
    <r>
      <t>tert.</t>
    </r>
    <r>
      <rPr>
        <sz val="10"/>
        <rFont val="Arial"/>
        <family val="2"/>
      </rPr>
      <t>-Butanol</t>
    </r>
  </si>
  <si>
    <t>2-Methyl-2-propanol</t>
  </si>
  <si>
    <t>75-65-0</t>
  </si>
  <si>
    <t>11-20</t>
  </si>
  <si>
    <t>Butan-2-on</t>
  </si>
  <si>
    <t>78-93-3</t>
  </si>
  <si>
    <t>bS bF K</t>
  </si>
  <si>
    <t>But-1-en</t>
  </si>
  <si>
    <t>Butylen</t>
  </si>
  <si>
    <t>106-98-9</t>
  </si>
  <si>
    <t>9-16-33</t>
  </si>
  <si>
    <t>But-2-en</t>
  </si>
  <si>
    <t>107-01-7</t>
  </si>
  <si>
    <t>But-2-in-1,4-diol</t>
  </si>
  <si>
    <t>2-Butin-1,4-diol</t>
  </si>
  <si>
    <t>110-65-6</t>
  </si>
  <si>
    <t>T, C</t>
  </si>
  <si>
    <t>21-23/25-34-43-48/22</t>
  </si>
  <si>
    <t>25-26-36/37/39-45-46</t>
  </si>
  <si>
    <t>0,2 E</t>
  </si>
  <si>
    <r>
      <t xml:space="preserve">Xn: 3%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25 %</t>
    </r>
  </si>
  <si>
    <t>2-Butoxyethylacetat</t>
  </si>
  <si>
    <t>Butylglykolacetat</t>
  </si>
  <si>
    <t>112-07-2</t>
  </si>
  <si>
    <t>20/21</t>
  </si>
  <si>
    <t>Buttersäure</t>
  </si>
  <si>
    <t>107-92-6</t>
  </si>
  <si>
    <t>26-36-45</t>
  </si>
  <si>
    <r>
      <t>iso-</t>
    </r>
    <r>
      <rPr>
        <sz val="10"/>
        <rFont val="Arial"/>
        <family val="2"/>
      </rPr>
      <t>Buttersäure</t>
    </r>
  </si>
  <si>
    <t>79-31-2</t>
  </si>
  <si>
    <t>507-19-7</t>
  </si>
  <si>
    <t>16-33</t>
  </si>
  <si>
    <r>
      <t>n</t>
    </r>
    <r>
      <rPr>
        <sz val="10"/>
        <rFont val="Arial"/>
        <family val="2"/>
      </rPr>
      <t>-Butylacetat</t>
    </r>
  </si>
  <si>
    <t>Essigsäure-n-butylester</t>
  </si>
  <si>
    <t>123-86-4</t>
  </si>
  <si>
    <t>10-66-67</t>
  </si>
  <si>
    <t>bS bF</t>
  </si>
  <si>
    <r>
      <t>tert.-</t>
    </r>
    <r>
      <rPr>
        <sz val="10"/>
        <rFont val="Arial"/>
        <family val="2"/>
      </rPr>
      <t>Butylacetat</t>
    </r>
  </si>
  <si>
    <t>Essigsäure-tert.-butyl­ester</t>
  </si>
  <si>
    <t>540-88-5</t>
  </si>
  <si>
    <t>11-66</t>
  </si>
  <si>
    <t>16-23-25-29-33</t>
  </si>
  <si>
    <t>bS  bF K</t>
  </si>
  <si>
    <r>
      <t>n</t>
    </r>
    <r>
      <rPr>
        <sz val="10"/>
        <rFont val="Arial"/>
        <family val="2"/>
      </rPr>
      <t>-Butylacrylat</t>
    </r>
  </si>
  <si>
    <t>Acrylsäurebutylester</t>
  </si>
  <si>
    <t>141-32-2</t>
  </si>
  <si>
    <t>10-36/37/38-43</t>
  </si>
  <si>
    <t xml:space="preserve">Butyllithium-Lösung </t>
  </si>
  <si>
    <t>15%ige Lösung in n-Hexan (Merck)</t>
  </si>
  <si>
    <t>F, C, N</t>
  </si>
  <si>
    <t>14/15-17-34-48/20-62</t>
  </si>
  <si>
    <t>6-26-33-36/37/39-45</t>
  </si>
  <si>
    <t>- S 4. -Klasse</t>
  </si>
  <si>
    <t>1634-04-4</t>
  </si>
  <si>
    <t>11-38</t>
  </si>
  <si>
    <t>9-16-24</t>
  </si>
  <si>
    <t>2-Butoxyethanol</t>
  </si>
  <si>
    <t>Butylglykol</t>
  </si>
  <si>
    <t>111-76-2</t>
  </si>
  <si>
    <t>20/21/22-36/38</t>
  </si>
  <si>
    <t>36/37-46</t>
  </si>
  <si>
    <t>98</t>
  </si>
  <si>
    <t>20</t>
  </si>
  <si>
    <t>4-Butyrolacton</t>
  </si>
  <si>
    <t>96-48-0</t>
  </si>
  <si>
    <t>Cadmiumpulver</t>
  </si>
  <si>
    <t xml:space="preserve">stabilisiert </t>
  </si>
  <si>
    <t>7440-43-9</t>
  </si>
  <si>
    <t>45-26-48/23/25-62-63-68-50/53</t>
  </si>
  <si>
    <r>
      <t>K2, M2 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3, 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3</t>
    </r>
  </si>
  <si>
    <t>-S, -w, ESP</t>
  </si>
  <si>
    <t xml:space="preserve">Cadmiumacetat </t>
  </si>
  <si>
    <t>543-90-8         wasserfrei</t>
  </si>
  <si>
    <t xml:space="preserve">                      5743-04-4         Dihydrat</t>
  </si>
  <si>
    <t>20/21/22-50/53</t>
  </si>
  <si>
    <r>
      <t xml:space="preserve">Xn: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0,1% </t>
    </r>
  </si>
  <si>
    <t>Cadmiumcarbonat</t>
  </si>
  <si>
    <t>513-78-0</t>
  </si>
  <si>
    <t xml:space="preserve">Cadmiumchlorid </t>
  </si>
  <si>
    <t>10108-64-2         wasserfrei</t>
  </si>
  <si>
    <t xml:space="preserve">                      7790-78-5         Hemipentahydrat</t>
  </si>
  <si>
    <t xml:space="preserve">                    35658-65-2         Monohydrat</t>
  </si>
  <si>
    <t>45-46-60-61-25-26-48/23/25-50/53</t>
  </si>
  <si>
    <r>
      <t>K2, M2 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2,  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2</t>
    </r>
  </si>
  <si>
    <r>
      <t xml:space="preserve">T, R 45: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0,01 %</t>
    </r>
  </si>
  <si>
    <t>Cadmiumcyanid</t>
  </si>
  <si>
    <t>542-83-6</t>
  </si>
  <si>
    <t>26/27/28-32-33-68-50/53</t>
  </si>
  <si>
    <t>7-28-29-45-60-61</t>
  </si>
  <si>
    <r>
      <t>Xn: 0,1%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1%</t>
    </r>
  </si>
  <si>
    <t>Cadmiumfluorid</t>
  </si>
  <si>
    <t>7790-79-6</t>
  </si>
  <si>
    <r>
      <t>K2, M2, 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2, 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2</t>
    </r>
  </si>
  <si>
    <r>
      <t xml:space="preserve">T R45: 0,01%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0,1%</t>
    </r>
  </si>
  <si>
    <t>Cadmiumformiat</t>
  </si>
  <si>
    <t>Cadmiumdiformiat</t>
  </si>
  <si>
    <t>4464-23-7</t>
  </si>
  <si>
    <t>23/25-33-68-50/53</t>
  </si>
  <si>
    <t>22-45-60-61</t>
  </si>
  <si>
    <r>
      <t xml:space="preserve">Xn: 0,1%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10 %</t>
    </r>
  </si>
  <si>
    <t>Cadmiumiodid</t>
  </si>
  <si>
    <t>7790-80-9</t>
  </si>
  <si>
    <r>
      <t xml:space="preserve">Xn: 0,1 %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10 %</t>
    </r>
  </si>
  <si>
    <t xml:space="preserve">Cadmiumnitrat </t>
  </si>
  <si>
    <t>10325-94-7         wasserfrei</t>
  </si>
  <si>
    <t xml:space="preserve">                    10022-68-1         Tetrahydrat</t>
  </si>
  <si>
    <t>Cadmiumoxid</t>
  </si>
  <si>
    <t>stabilisiert</t>
  </si>
  <si>
    <t>1306-19-0</t>
  </si>
  <si>
    <t>45-26-48/23/25</t>
  </si>
  <si>
    <r>
      <t>K2, M3  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3, 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3</t>
    </r>
  </si>
  <si>
    <t>Cadmiumsulfat</t>
  </si>
  <si>
    <t>10124-36-4         wasserfrei</t>
  </si>
  <si>
    <t xml:space="preserve">                      7790-84-3         Octahydrat</t>
  </si>
  <si>
    <r>
      <t>K2, M2  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2, 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2</t>
    </r>
  </si>
  <si>
    <t>Cadmiumsulfid</t>
  </si>
  <si>
    <t>1306-23-6</t>
  </si>
  <si>
    <t>45-22-48/23/25-53-62-63-68</t>
  </si>
  <si>
    <t>53-45-61</t>
  </si>
  <si>
    <r>
      <t>K2, M3,  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3, 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3</t>
    </r>
  </si>
  <si>
    <r>
      <t xml:space="preserve">T R45: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0,1%</t>
    </r>
  </si>
  <si>
    <t>Caesiumchlorid Wasserfrei</t>
  </si>
  <si>
    <t xml:space="preserve">7647-17-8 </t>
  </si>
  <si>
    <t>Calcium</t>
  </si>
  <si>
    <t>7440-70-2</t>
  </si>
  <si>
    <t>8-24/25-43</t>
  </si>
  <si>
    <t xml:space="preserve"> ---</t>
  </si>
  <si>
    <t xml:space="preserve">Calciumacetat </t>
  </si>
  <si>
    <t>62-54-4</t>
  </si>
  <si>
    <t xml:space="preserve"> - S 4. Klasse</t>
  </si>
  <si>
    <t xml:space="preserve">Calciumbromid </t>
  </si>
  <si>
    <t>71626-99-8</t>
  </si>
  <si>
    <t>Calciumcarbid</t>
  </si>
  <si>
    <t>Calciumacetylid</t>
  </si>
  <si>
    <t>75-20-7</t>
  </si>
  <si>
    <t>8-43</t>
  </si>
  <si>
    <t>Calciumcarbonat</t>
  </si>
  <si>
    <t>471-34-1</t>
  </si>
  <si>
    <t>Marmor Pulver (Merck)</t>
  </si>
  <si>
    <t>Calcium-Caseinat-Agar</t>
  </si>
  <si>
    <t>Calciumchlorid</t>
  </si>
  <si>
    <t xml:space="preserve">10043-52-4 </t>
  </si>
  <si>
    <t>10035-04-8</t>
  </si>
  <si>
    <t>7774-34-7</t>
  </si>
  <si>
    <t>22-24</t>
  </si>
  <si>
    <t>Calciumchromat</t>
  </si>
  <si>
    <t>Pigmentgelb 33 </t>
  </si>
  <si>
    <t>13765-19-0</t>
  </si>
  <si>
    <t xml:space="preserve">Calciumdihydrogenphosphat </t>
  </si>
  <si>
    <t>Dihydrat 7758-23-8</t>
  </si>
  <si>
    <t>Calciumfluorid</t>
  </si>
  <si>
    <t>7789-75-5</t>
  </si>
  <si>
    <t>Calciumgluconat</t>
  </si>
  <si>
    <t xml:space="preserve"> </t>
  </si>
  <si>
    <t>Calciumhydrid</t>
  </si>
  <si>
    <t>7789-78-8</t>
  </si>
  <si>
    <t>7/8-24/25-43</t>
  </si>
  <si>
    <t>Calciumhydrogenphosphat</t>
  </si>
  <si>
    <t xml:space="preserve">Dihydrat </t>
  </si>
  <si>
    <t>7789-77-7</t>
  </si>
  <si>
    <t>Calciumhydroxid</t>
  </si>
  <si>
    <t>Kalk, gelöscht (Merck)</t>
  </si>
  <si>
    <t>1305-62-0</t>
  </si>
  <si>
    <t>22-24-26-39</t>
  </si>
  <si>
    <r>
      <t xml:space="preserve">Xi R41: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10%</t>
    </r>
  </si>
  <si>
    <t>Calciumhypochlorit</t>
  </si>
  <si>
    <t>aktives Chlor &gt; 39%</t>
  </si>
  <si>
    <t>7778-54-3</t>
  </si>
  <si>
    <t>O, C, N</t>
  </si>
  <si>
    <t>8-22-31-34-50</t>
  </si>
  <si>
    <r>
      <t xml:space="preserve">Xi R36/38: 5%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10 %</t>
    </r>
  </si>
  <si>
    <t xml:space="preserve">Calciumnitrat </t>
  </si>
  <si>
    <t>13477-34-4</t>
  </si>
  <si>
    <t>8-36</t>
  </si>
  <si>
    <t>Calciumoxid</t>
  </si>
  <si>
    <t>Tetrahydrat 1305-78-8</t>
  </si>
  <si>
    <t>Calciumphosphat</t>
  </si>
  <si>
    <t>7758-87-4</t>
  </si>
  <si>
    <t>Calciumphosphid</t>
  </si>
  <si>
    <t>1305-99-3</t>
  </si>
  <si>
    <t>15/29-28-50</t>
  </si>
  <si>
    <t>22-28-36/37-43-45-61</t>
  </si>
  <si>
    <t xml:space="preserve">Calciumsulfat </t>
  </si>
  <si>
    <t>7778-18-9         wasserfrei</t>
  </si>
  <si>
    <t xml:space="preserve">                    10034-76-1         Hemihydrat</t>
  </si>
  <si>
    <t xml:space="preserve">                    10101-41-4         Dihydrat</t>
  </si>
  <si>
    <t xml:space="preserve">                    13397-24-5         Hydrat </t>
  </si>
  <si>
    <t>Calciumsulfid</t>
  </si>
  <si>
    <t>20548-54-3</t>
  </si>
  <si>
    <t>31-36/37/38-50</t>
  </si>
  <si>
    <t>-S 4.   Klasse</t>
  </si>
  <si>
    <t>Calmagit</t>
  </si>
  <si>
    <t>3147-14-6</t>
  </si>
  <si>
    <t>Campher</t>
  </si>
  <si>
    <t>21368-68-3         (+-)-</t>
  </si>
  <si>
    <t>464-49-3         (1R)-</t>
  </si>
  <si>
    <t>464-48-2         (1S)-</t>
  </si>
  <si>
    <r>
      <t>e</t>
    </r>
    <r>
      <rPr>
        <sz val="10"/>
        <rFont val="Arial"/>
        <family val="2"/>
      </rPr>
      <t>-Caprolactam</t>
    </r>
  </si>
  <si>
    <t>105-60-2</t>
  </si>
  <si>
    <t>20/22-36/37/38</t>
  </si>
  <si>
    <t>5 E</t>
  </si>
  <si>
    <t xml:space="preserve">Gram's Lösung enthält Phenol </t>
  </si>
  <si>
    <t>21/22-36/38</t>
  </si>
  <si>
    <t>Carbonylchlorid</t>
  </si>
  <si>
    <t>Phosgen</t>
  </si>
  <si>
    <t>75-44-5</t>
  </si>
  <si>
    <t>26-34</t>
  </si>
  <si>
    <t>Carmin</t>
  </si>
  <si>
    <t>1390-65-4</t>
  </si>
  <si>
    <t>Casein</t>
  </si>
  <si>
    <t>9000-71-9</t>
  </si>
  <si>
    <t>D(+)-Cellobiose</t>
  </si>
  <si>
    <t>528-50-7</t>
  </si>
  <si>
    <t xml:space="preserve">Cellulose </t>
  </si>
  <si>
    <t>mikrokristallin</t>
  </si>
  <si>
    <t>9004-34-6</t>
  </si>
  <si>
    <t>Cer(IV)-sulfat-Lösung</t>
  </si>
  <si>
    <t>13590-82-4</t>
  </si>
  <si>
    <t>Cer(III)-chlorid</t>
  </si>
  <si>
    <t xml:space="preserve">Heptahydrat </t>
  </si>
  <si>
    <t>18618-55-8</t>
  </si>
  <si>
    <t xml:space="preserve">-S 4.   Klasse </t>
  </si>
  <si>
    <t>Chinhydron</t>
  </si>
  <si>
    <t>106-34-3</t>
  </si>
  <si>
    <t>22-50</t>
  </si>
  <si>
    <t>Chininhydrochlorid</t>
  </si>
  <si>
    <t>6119-47-7</t>
  </si>
  <si>
    <t>22-42/43</t>
  </si>
  <si>
    <t>22-24-37-45</t>
  </si>
  <si>
    <t>Chinolin</t>
  </si>
  <si>
    <t>91-22-5</t>
  </si>
  <si>
    <t>26-36/37/39</t>
  </si>
  <si>
    <t>Chinolingelb</t>
  </si>
  <si>
    <t>8004-92-0</t>
  </si>
  <si>
    <t>22-24/25-46</t>
  </si>
  <si>
    <t>Chlor</t>
  </si>
  <si>
    <t>E 925</t>
  </si>
  <si>
    <t>7782-50-5</t>
  </si>
  <si>
    <t>23-36/37/38-50</t>
  </si>
  <si>
    <t>9-45-61</t>
  </si>
  <si>
    <r>
      <t xml:space="preserve">Xn: 0,5%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5%</t>
    </r>
  </si>
  <si>
    <t>106-89-8</t>
  </si>
  <si>
    <t>45-10-23/24/25-34-43</t>
  </si>
  <si>
    <t>507-20-0</t>
  </si>
  <si>
    <t>9-16-29</t>
  </si>
  <si>
    <t>16-36/37-45</t>
  </si>
  <si>
    <t>Iodkaliumiodid-Lösung</t>
  </si>
  <si>
    <t>Lugolsche Lösung (Roth)</t>
  </si>
  <si>
    <t>Iodmethan</t>
  </si>
  <si>
    <t>Methyliodid</t>
  </si>
  <si>
    <t>74-88-4</t>
  </si>
  <si>
    <t>21-23/25-37/38-40</t>
  </si>
  <si>
    <t>Iodoform</t>
  </si>
  <si>
    <t>Triiodmethan (Sigma-Aldrich)</t>
  </si>
  <si>
    <t>107-05-1</t>
  </si>
  <si>
    <t>F, Xn, N</t>
  </si>
  <si>
    <t>11-20/21/22-36/37/38-40-48/20-68-50</t>
  </si>
  <si>
    <t>16-25-26-36/37-46-61</t>
  </si>
  <si>
    <t>K3, M3, H</t>
  </si>
  <si>
    <t xml:space="preserve">-S 4.   Klasse, ESP </t>
  </si>
  <si>
    <t>97-00-7</t>
  </si>
  <si>
    <t>28-36/37-45-60-61</t>
  </si>
  <si>
    <t>Chloralhydrat</t>
  </si>
  <si>
    <t>302-17-0</t>
  </si>
  <si>
    <t>25-36/38</t>
  </si>
  <si>
    <t>25-45</t>
  </si>
  <si>
    <t>Chloramin T</t>
  </si>
  <si>
    <t xml:space="preserve">Trihydrat </t>
  </si>
  <si>
    <t>127-65-1</t>
  </si>
  <si>
    <t>22-31-34-42</t>
  </si>
  <si>
    <t>7-22-26-36/37/39-45</t>
  </si>
  <si>
    <t>2-Chloranilin</t>
  </si>
  <si>
    <r>
      <t>o-</t>
    </r>
    <r>
      <rPr>
        <sz val="10"/>
        <rFont val="Arial"/>
        <family val="2"/>
      </rPr>
      <t>Chloranilin</t>
    </r>
  </si>
  <si>
    <t>95-51-2</t>
  </si>
  <si>
    <r>
      <t xml:space="preserve">Xn: 3 %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10 %</t>
    </r>
  </si>
  <si>
    <t>3-Chloranilin</t>
  </si>
  <si>
    <r>
      <t>m-</t>
    </r>
    <r>
      <rPr>
        <sz val="10"/>
        <rFont val="Arial"/>
        <family val="2"/>
      </rPr>
      <t>Chloranilin</t>
    </r>
  </si>
  <si>
    <t>108-42-9</t>
  </si>
  <si>
    <t>4-Chloranilin</t>
  </si>
  <si>
    <r>
      <t>p</t>
    </r>
    <r>
      <rPr>
        <sz val="10"/>
        <rFont val="Arial"/>
        <family val="2"/>
      </rPr>
      <t>-Chloranilin</t>
    </r>
  </si>
  <si>
    <t>106-47-8</t>
  </si>
  <si>
    <t>45-23/24/25-43-50/53</t>
  </si>
  <si>
    <t>K2, H, S</t>
  </si>
  <si>
    <t>Chloranilsäure</t>
  </si>
  <si>
    <t>87-88-7</t>
  </si>
  <si>
    <t>Chlorbenzol</t>
  </si>
  <si>
    <t>Benzolchlorid</t>
  </si>
  <si>
    <t>108-90-7</t>
  </si>
  <si>
    <t>10-20-51/53</t>
  </si>
  <si>
    <r>
      <t xml:space="preserve">Xn: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5%</t>
    </r>
  </si>
  <si>
    <t>1-Chlorbutan</t>
  </si>
  <si>
    <t xml:space="preserve">Butylchlorid </t>
  </si>
  <si>
    <t>109-69-3</t>
  </si>
  <si>
    <t>2-Chlorbutan</t>
  </si>
  <si>
    <t>78-86-4</t>
  </si>
  <si>
    <t>7/9-16-29</t>
  </si>
  <si>
    <t>Chloressigsäure</t>
  </si>
  <si>
    <t>Monochloressigsäure</t>
  </si>
  <si>
    <t>79-11-8</t>
  </si>
  <si>
    <t>25-34-50</t>
  </si>
  <si>
    <t>23-37-45-61</t>
  </si>
  <si>
    <r>
      <t xml:space="preserve">Xn: 3 %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25 %</t>
    </r>
  </si>
  <si>
    <t>Chlorethan</t>
  </si>
  <si>
    <t>Ethylchlorid</t>
  </si>
  <si>
    <t>75-00-3</t>
  </si>
  <si>
    <t>F+, Xn</t>
  </si>
  <si>
    <t>12-40-52/53</t>
  </si>
  <si>
    <t>9-16-33-36/37-61</t>
  </si>
  <si>
    <t xml:space="preserve">K3 </t>
  </si>
  <si>
    <t>2-Chlorethanol</t>
  </si>
  <si>
    <t>107-07-3</t>
  </si>
  <si>
    <t>26/27/28</t>
  </si>
  <si>
    <t>7/9-28-45</t>
  </si>
  <si>
    <t>Chlorethen</t>
  </si>
  <si>
    <t>Vinylchlorid</t>
  </si>
  <si>
    <t>75-01-4</t>
  </si>
  <si>
    <t>45-12</t>
  </si>
  <si>
    <t>1-Chlorhexan</t>
  </si>
  <si>
    <t>544-10-5</t>
  </si>
  <si>
    <t>Chlorkalk, 32-35 %</t>
  </si>
  <si>
    <t>(Hedinger)</t>
  </si>
  <si>
    <t>15944-13-5</t>
  </si>
  <si>
    <t>O, C, N </t>
  </si>
  <si>
    <t>8-22-31-34-50  </t>
  </si>
  <si>
    <t>22-26-36/37/39-43-45-61 </t>
  </si>
  <si>
    <t>Chlormethan</t>
  </si>
  <si>
    <t>Methylchlorid</t>
  </si>
  <si>
    <t>74-87-3</t>
  </si>
  <si>
    <t>12-40-48/20</t>
  </si>
  <si>
    <t>2-Chlortoluol</t>
  </si>
  <si>
    <t>95-49-8</t>
  </si>
  <si>
    <t xml:space="preserve">Xn: </t>
  </si>
  <si>
    <r>
      <t xml:space="preserve">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25 %</t>
    </r>
  </si>
  <si>
    <r>
      <t>a</t>
    </r>
    <r>
      <rPr>
        <sz val="10"/>
        <rFont val="Arial"/>
        <family val="2"/>
      </rPr>
      <t>-Chlortoluol</t>
    </r>
  </si>
  <si>
    <t>Benzylchlorid</t>
  </si>
  <si>
    <t>100-44-7</t>
  </si>
  <si>
    <t>45-22-23-37/38-41-48/22</t>
  </si>
  <si>
    <r>
      <t>K2, M3, 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3, H</t>
    </r>
  </si>
  <si>
    <t>Chlorwasserstoff</t>
  </si>
  <si>
    <t>7647-01-0</t>
  </si>
  <si>
    <t>23-35</t>
  </si>
  <si>
    <r>
      <t xml:space="preserve">Xi R36/38: 1 %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5 %</t>
    </r>
  </si>
  <si>
    <t>Cholesterin</t>
  </si>
  <si>
    <t>57-88-5</t>
  </si>
  <si>
    <t>Chrom(III)-chlorid</t>
  </si>
  <si>
    <t xml:space="preserve">Hexahydrat </t>
  </si>
  <si>
    <t>10060-12-5</t>
  </si>
  <si>
    <t>2 E</t>
  </si>
  <si>
    <t>Chrom(III)-chromat</t>
  </si>
  <si>
    <t>246-356-2</t>
  </si>
  <si>
    <t>O, T, C, N</t>
  </si>
  <si>
    <t>45-8-35-43-50/53</t>
  </si>
  <si>
    <t>3 </t>
  </si>
  <si>
    <t>Chrom(III)-nitrat</t>
  </si>
  <si>
    <t xml:space="preserve">Nonahydrat </t>
  </si>
  <si>
    <t>7789-02-8</t>
  </si>
  <si>
    <t> 1</t>
  </si>
  <si>
    <t>Chrom(III)-oxid</t>
  </si>
  <si>
    <t>1308-38-9</t>
  </si>
  <si>
    <t>Chrom(III)-sulfat basisch</t>
  </si>
  <si>
    <t>39380-78-4</t>
  </si>
  <si>
    <r>
      <t xml:space="preserve">Xi R 36/38: 5 %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10%</t>
    </r>
  </si>
  <si>
    <t>Chrom(VI)-oxid</t>
  </si>
  <si>
    <t>1333-82-0</t>
  </si>
  <si>
    <t>O, T+, N</t>
  </si>
  <si>
    <t>45-46-9-24/25-26-35-42/43-48/23-62-50/53</t>
  </si>
  <si>
    <r>
      <t>K2, M3,  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3, S</t>
    </r>
  </si>
  <si>
    <t xml:space="preserve">Chrom </t>
  </si>
  <si>
    <t>Pulver</t>
  </si>
  <si>
    <t>7440-47-3</t>
  </si>
  <si>
    <t>65272-71-1</t>
  </si>
  <si>
    <r>
      <t>K2, M3, 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3, S</t>
    </r>
  </si>
  <si>
    <t>Citronensäure</t>
  </si>
  <si>
    <t xml:space="preserve">Monohydrat </t>
  </si>
  <si>
    <t>5949-29-1</t>
  </si>
  <si>
    <t>Cobalt</t>
  </si>
  <si>
    <t>7440-48-4</t>
  </si>
  <si>
    <t>42/43-53</t>
  </si>
  <si>
    <t>22-24-37-61</t>
  </si>
  <si>
    <t>S, K3</t>
  </si>
  <si>
    <t xml:space="preserve">- S 4. Klasse, ESP </t>
  </si>
  <si>
    <t>ngw</t>
  </si>
  <si>
    <t xml:space="preserve">Cobalt(II)-chlorid </t>
  </si>
  <si>
    <t>7646-79-9</t>
  </si>
  <si>
    <t>Hexahydrat 7791-13-1</t>
  </si>
  <si>
    <t>49-60-22-42/43-68-50/53</t>
  </si>
  <si>
    <r>
      <t>K2, M3, 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2, S</t>
    </r>
  </si>
  <si>
    <t xml:space="preserve">Cobalt(II)-nitrat </t>
  </si>
  <si>
    <t>Hexahydrat 10026-22-9</t>
  </si>
  <si>
    <t>49-60-42/43-68-50/53</t>
  </si>
  <si>
    <t>Cobalt(II,III)-oxid</t>
  </si>
  <si>
    <t>1308-06-1</t>
  </si>
  <si>
    <t>40-43</t>
  </si>
  <si>
    <t>Cobalt(II)-acetat</t>
  </si>
  <si>
    <t xml:space="preserve">Tetrahydrat </t>
  </si>
  <si>
    <t>6147-53-1</t>
  </si>
  <si>
    <t>Cobalt(II)-sulfat</t>
  </si>
  <si>
    <t>10124-43-3</t>
  </si>
  <si>
    <r>
      <t>K2, M3 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2, S</t>
    </r>
  </si>
  <si>
    <t>Coffein</t>
  </si>
  <si>
    <t>58-08-2</t>
  </si>
  <si>
    <t>Colchicin</t>
  </si>
  <si>
    <t>64-86-8</t>
  </si>
  <si>
    <t>46/28</t>
  </si>
  <si>
    <t>-S, ESP</t>
  </si>
  <si>
    <r>
      <t>sym</t>
    </r>
    <r>
      <rPr>
        <sz val="10"/>
        <rFont val="Arial"/>
        <family val="2"/>
      </rPr>
      <t>-Collidin</t>
    </r>
  </si>
  <si>
    <t>108-75-8</t>
  </si>
  <si>
    <t>10-20/21/22</t>
  </si>
  <si>
    <t>Crotonsäure</t>
  </si>
  <si>
    <r>
      <t>trans</t>
    </r>
    <r>
      <rPr>
        <sz val="10"/>
        <rFont val="Arial"/>
        <family val="2"/>
      </rPr>
      <t>-2-Butensäure (Merck)</t>
    </r>
  </si>
  <si>
    <t>107-93-7</t>
  </si>
  <si>
    <t>22-26</t>
  </si>
  <si>
    <t>Cumol</t>
  </si>
  <si>
    <t>Isopropylbenzol</t>
  </si>
  <si>
    <t>98-82-8</t>
  </si>
  <si>
    <t>10-37-51/53</t>
  </si>
  <si>
    <t>24-37-61-62</t>
  </si>
  <si>
    <t>Cumolhydroperoxid</t>
  </si>
  <si>
    <t>80-15-9</t>
  </si>
  <si>
    <t>O, T, N</t>
  </si>
  <si>
    <t>7-21/22-23-34-48/20/22-51/53</t>
  </si>
  <si>
    <t>3/7-14-36/37/39-45-50-61</t>
  </si>
  <si>
    <t>dbS K</t>
  </si>
  <si>
    <t>Cyanwasserstoff</t>
  </si>
  <si>
    <t>74-90-8</t>
  </si>
  <si>
    <t>12-26-50/53</t>
  </si>
  <si>
    <t>7/9-16-36/37-38-45-60-61</t>
  </si>
  <si>
    <t>Cyanwasserstoffsäure</t>
  </si>
  <si>
    <t>Blausäure</t>
  </si>
  <si>
    <t>26/27/28-50/53</t>
  </si>
  <si>
    <r>
      <t xml:space="preserve">Xn: 0,1%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1 %</t>
    </r>
  </si>
  <si>
    <t>Cyclohexan</t>
  </si>
  <si>
    <t>110-82-7</t>
  </si>
  <si>
    <t>11-38-65-67-50/53</t>
  </si>
  <si>
    <t>9-16-25-33-60-61-62</t>
  </si>
  <si>
    <t>Cyclohexanol</t>
  </si>
  <si>
    <t>108-93-0</t>
  </si>
  <si>
    <t>20/22-37/38</t>
  </si>
  <si>
    <t>Cyclohexanon</t>
  </si>
  <si>
    <t>108-94-1</t>
  </si>
  <si>
    <t>10-20</t>
  </si>
  <si>
    <t xml:space="preserve">Cyclohexylsulfaminsäure </t>
  </si>
  <si>
    <t>Natriumcyclamat (Merck)</t>
  </si>
  <si>
    <t>139-05-9</t>
  </si>
  <si>
    <t>Cyclohexen</t>
  </si>
  <si>
    <t>110-83-8</t>
  </si>
  <si>
    <t>11-21/22</t>
  </si>
  <si>
    <t>16-23-33-36/37</t>
  </si>
  <si>
    <t>Cyclopropan</t>
  </si>
  <si>
    <t>75-19-4</t>
  </si>
  <si>
    <t>L-Cystein</t>
  </si>
  <si>
    <t xml:space="preserve">2-Amino-3-mercapto-propionsäure </t>
  </si>
  <si>
    <t>52-90-4</t>
  </si>
  <si>
    <r>
      <t>cis-</t>
    </r>
    <r>
      <rPr>
        <sz val="10"/>
        <rFont val="Arial"/>
        <family val="2"/>
      </rPr>
      <t>Decalin (Merck)</t>
    </r>
  </si>
  <si>
    <t>493-01-6</t>
  </si>
  <si>
    <t>20-34-51/53</t>
  </si>
  <si>
    <r>
      <t>trans-</t>
    </r>
    <r>
      <rPr>
        <sz val="10"/>
        <rFont val="Arial"/>
        <family val="2"/>
      </rPr>
      <t>Decahydronaphthalin</t>
    </r>
  </si>
  <si>
    <r>
      <t>trans-</t>
    </r>
    <r>
      <rPr>
        <sz val="10"/>
        <rFont val="Arial"/>
        <family val="2"/>
      </rPr>
      <t>Decalin (Merck)</t>
    </r>
  </si>
  <si>
    <t>493-02-7</t>
  </si>
  <si>
    <t>10-20-34-51/53</t>
  </si>
  <si>
    <r>
      <t>n</t>
    </r>
    <r>
      <rPr>
        <sz val="10"/>
        <rFont val="Arial"/>
        <family val="2"/>
      </rPr>
      <t>-Decan</t>
    </r>
  </si>
  <si>
    <t>124-18-5</t>
  </si>
  <si>
    <t>10-65</t>
  </si>
  <si>
    <t>23-24-62</t>
  </si>
  <si>
    <t>1-Decanol</t>
  </si>
  <si>
    <t>112-30-1</t>
  </si>
  <si>
    <t>36/38-51/53</t>
  </si>
  <si>
    <t>26-61</t>
  </si>
  <si>
    <t>1-Decen</t>
  </si>
  <si>
    <t>872-05-9</t>
  </si>
  <si>
    <t>25-61-62</t>
  </si>
  <si>
    <t>Deoxycholsäure Natriumsalz</t>
  </si>
  <si>
    <t>302-95-4</t>
  </si>
  <si>
    <t>22-37</t>
  </si>
  <si>
    <t>22-36-46</t>
  </si>
  <si>
    <t>Deoxyribonuclease-1 (DNase I)</t>
  </si>
  <si>
    <t>9003-98-9</t>
  </si>
  <si>
    <t>Dextrin</t>
  </si>
  <si>
    <t>9004-53-9</t>
  </si>
  <si>
    <t>Diacetonalkohol</t>
  </si>
  <si>
    <t>4-Hydroxy-4-methyl-2-pentanon</t>
  </si>
  <si>
    <t>123-42-2</t>
  </si>
  <si>
    <t>1,2-Diaminoethan</t>
  </si>
  <si>
    <t>Ethylendiamin</t>
  </si>
  <si>
    <t>107-15-3</t>
  </si>
  <si>
    <t>10-21/22-34-42/43</t>
  </si>
  <si>
    <t>1,6-Diaminohexan</t>
  </si>
  <si>
    <t>Hexamethylendiamin</t>
  </si>
  <si>
    <t>124-09-4</t>
  </si>
  <si>
    <t>21/22-34-37</t>
  </si>
  <si>
    <t>1,3-Diaminopropan</t>
  </si>
  <si>
    <t>109-76-2</t>
  </si>
  <si>
    <t>10-22-24-35</t>
  </si>
  <si>
    <t>Diastase</t>
  </si>
  <si>
    <t>9000-92-4</t>
  </si>
  <si>
    <t>36-42</t>
  </si>
  <si>
    <t>S: 22-24-45</t>
  </si>
  <si>
    <t>Dibenzoylperoxid</t>
  </si>
  <si>
    <t>Benzoylperoxid</t>
  </si>
  <si>
    <t>94-36-0</t>
  </si>
  <si>
    <t>E, Xi</t>
  </si>
  <si>
    <t>3-7-36-43</t>
  </si>
  <si>
    <t>3/7-14-36/37/39</t>
  </si>
  <si>
    <t>1,2-Dibromethan</t>
  </si>
  <si>
    <t>Ethylendibromid</t>
  </si>
  <si>
    <t>106-93-4</t>
  </si>
  <si>
    <t>45-23/24/25-36/37/38-51/53</t>
  </si>
  <si>
    <t>1,6-Dibromhexan</t>
  </si>
  <si>
    <t>Hexamethylendibromid (Merck)</t>
  </si>
  <si>
    <t>629-03-8</t>
  </si>
  <si>
    <t>22-43-51/53</t>
  </si>
  <si>
    <t>24/37/61</t>
  </si>
  <si>
    <t>-S. 4. Klasse</t>
  </si>
  <si>
    <t>Dibrommethan</t>
  </si>
  <si>
    <t>74-95-3</t>
  </si>
  <si>
    <t>20-52/53</t>
  </si>
  <si>
    <t>24-61</t>
  </si>
  <si>
    <r>
      <t xml:space="preserve">Xn: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12,5 %</t>
    </r>
  </si>
  <si>
    <t>2,6-Dibromphenol</t>
  </si>
  <si>
    <t>79-94-7</t>
  </si>
  <si>
    <r>
      <t xml:space="preserve">Xi: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20 %</t>
    </r>
  </si>
  <si>
    <r>
      <t>Di-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>-butylether</t>
    </r>
  </si>
  <si>
    <t>Butylether</t>
  </si>
  <si>
    <t>142-96-1</t>
  </si>
  <si>
    <t>10-36/37/38-52/53</t>
  </si>
  <si>
    <r>
      <t xml:space="preserve">Xi: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10%</t>
    </r>
  </si>
  <si>
    <t>Dibutylphthalat</t>
  </si>
  <si>
    <t>84-74-2</t>
  </si>
  <si>
    <t>61-50-62</t>
  </si>
  <si>
    <r>
      <t>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2 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2</t>
    </r>
  </si>
  <si>
    <t>1,2-Dichlorbenzol</t>
  </si>
  <si>
    <t>95-50-1</t>
  </si>
  <si>
    <t>22-36/37/38-50/53</t>
  </si>
  <si>
    <t>-S 4.Klasse</t>
  </si>
  <si>
    <r>
      <t xml:space="preserve">Xn: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5 %</t>
    </r>
  </si>
  <si>
    <t>1,3-Dichlorbenzol</t>
  </si>
  <si>
    <t>541-73-1</t>
  </si>
  <si>
    <t>22-51/53</t>
  </si>
  <si>
    <t xml:space="preserve">-S 4.   Klasse  </t>
  </si>
  <si>
    <t>1,4-Dichlorbenzol</t>
  </si>
  <si>
    <t>106-46-7</t>
  </si>
  <si>
    <t>36-40-50/53</t>
  </si>
  <si>
    <t>36/37-46-60-61</t>
  </si>
  <si>
    <t>2,6-Dichlorchinon-4-chlorimid</t>
  </si>
  <si>
    <t>101-38-2</t>
  </si>
  <si>
    <t>2-36/38</t>
  </si>
  <si>
    <t>15-35</t>
  </si>
  <si>
    <t>Dichlordifluormethan</t>
  </si>
  <si>
    <t>R 12</t>
  </si>
  <si>
    <t>75-71-8</t>
  </si>
  <si>
    <t>59-9-23</t>
  </si>
  <si>
    <t>Dimethyldichlorsilan</t>
  </si>
  <si>
    <t>75-78-5</t>
  </si>
  <si>
    <t>1,1-Dichlorethan</t>
  </si>
  <si>
    <t>75-34-3</t>
  </si>
  <si>
    <t>11-22-36/37-52/53</t>
  </si>
  <si>
    <t>16-23-61</t>
  </si>
  <si>
    <t xml:space="preserve">- S 4. Klasse </t>
  </si>
  <si>
    <r>
      <t xml:space="preserve">Xn R22: 12,5 %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20 %</t>
    </r>
  </si>
  <si>
    <t>1,2-Dichlorethan</t>
  </si>
  <si>
    <t>107-06-2</t>
  </si>
  <si>
    <t>45-11-22-36/37/38</t>
  </si>
  <si>
    <r>
      <t xml:space="preserve">T R45: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0,1 %</t>
    </r>
  </si>
  <si>
    <t>Dichlorethansäure</t>
  </si>
  <si>
    <t>79-43-6</t>
  </si>
  <si>
    <t>35-50</t>
  </si>
  <si>
    <t>23/25-50/53</t>
  </si>
  <si>
    <r>
      <t xml:space="preserve">T: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0,2 % </t>
    </r>
  </si>
  <si>
    <t>Thymol</t>
  </si>
  <si>
    <t>89-83-8</t>
  </si>
  <si>
    <t>22-34-51/53</t>
  </si>
  <si>
    <t>26-28-36/37/39-45-61</t>
  </si>
  <si>
    <t>Thymolblau</t>
  </si>
  <si>
    <t>62625-21-2</t>
  </si>
  <si>
    <t>Thymolphthalein</t>
  </si>
  <si>
    <t>125-20-2</t>
  </si>
  <si>
    <t>Titan</t>
  </si>
  <si>
    <t>7440-32-6</t>
  </si>
  <si>
    <t>15-17</t>
  </si>
  <si>
    <t>Titandioxid</t>
  </si>
  <si>
    <t>Titan(IV)-oxid</t>
  </si>
  <si>
    <t>(Bayer)</t>
  </si>
  <si>
    <t>13463-67-7</t>
  </si>
  <si>
    <t>Titanoxysulfat</t>
  </si>
  <si>
    <t>Titanylsulfat</t>
  </si>
  <si>
    <t>13825-74-6</t>
  </si>
  <si>
    <t>ZVG-Nummer</t>
  </si>
  <si>
    <t xml:space="preserve">Dichlorisocyanursäure </t>
  </si>
  <si>
    <t xml:space="preserve">Natriumsalz </t>
  </si>
  <si>
    <t>51580-86-0</t>
  </si>
  <si>
    <t>22-31-36/37-50/53</t>
  </si>
  <si>
    <t>8-26-41-60-61</t>
  </si>
  <si>
    <t>Dichlormethan</t>
  </si>
  <si>
    <t>75-09-2</t>
  </si>
  <si>
    <t>23-24/25-36/37</t>
  </si>
  <si>
    <t>2,6-Dichlorphenol</t>
  </si>
  <si>
    <t>87-65-0</t>
  </si>
  <si>
    <t>TillmansReagens (Roth)</t>
  </si>
  <si>
    <t>620-45-1</t>
  </si>
  <si>
    <r>
      <t>a,a</t>
    </r>
    <r>
      <rPr>
        <sz val="10"/>
        <rFont val="Arial"/>
        <family val="2"/>
      </rPr>
      <t>-Dichlortoluol</t>
    </r>
  </si>
  <si>
    <t>Benzylidendichlorid</t>
  </si>
  <si>
    <t>98-87-3</t>
  </si>
  <si>
    <t>22-23-37/38-40-41</t>
  </si>
  <si>
    <t>36/37-38-45</t>
  </si>
  <si>
    <t>DCC</t>
  </si>
  <si>
    <t>538-75-0</t>
  </si>
  <si>
    <t xml:space="preserve">dbS </t>
  </si>
  <si>
    <t xml:space="preserve">Isobutylmethylketon </t>
  </si>
  <si>
    <t>108-10-1</t>
  </si>
  <si>
    <t>11-20-36/37-66</t>
  </si>
  <si>
    <t>2-Methylpropanal</t>
  </si>
  <si>
    <t>78-84-2</t>
  </si>
  <si>
    <t>9-16-23-24/25-33</t>
  </si>
  <si>
    <t>2-Methylpyridin</t>
  </si>
  <si>
    <t>2-Picolin</t>
  </si>
  <si>
    <t>109-06-8</t>
  </si>
  <si>
    <t>10-20/21/22-36/37</t>
  </si>
  <si>
    <t>3-Methylpyridin</t>
  </si>
  <si>
    <t>3-Picolin (Merck)</t>
  </si>
  <si>
    <t>108-89-6</t>
  </si>
  <si>
    <t>10-20/21/22-36/37/38</t>
  </si>
  <si>
    <t>4-Methylpyridin</t>
  </si>
  <si>
    <t>4-Picolin (Merck)</t>
  </si>
  <si>
    <t>108-89-4</t>
  </si>
  <si>
    <t>10-20/22-24-36/37/38</t>
  </si>
  <si>
    <t>Methylrot</t>
  </si>
  <si>
    <t>C.I. 13020 (Merck)</t>
  </si>
  <si>
    <t>845-10-3</t>
  </si>
  <si>
    <t>Methylsalicylat</t>
  </si>
  <si>
    <t>119-36-8</t>
  </si>
  <si>
    <r>
      <t>a</t>
    </r>
    <r>
      <rPr>
        <sz val="10"/>
        <rFont val="Arial"/>
        <family val="2"/>
      </rPr>
      <t>-Methylstyrol</t>
    </r>
  </si>
  <si>
    <t xml:space="preserve">2-Phenyl­propen </t>
  </si>
  <si>
    <t>98-83-9</t>
  </si>
  <si>
    <t>10-36/37-51/53</t>
  </si>
  <si>
    <r>
      <t xml:space="preserve">Xi: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25%</t>
    </r>
  </si>
  <si>
    <t>Methylviolett</t>
  </si>
  <si>
    <t>C.I. 42535 (Merck)</t>
  </si>
  <si>
    <t>603-47-4</t>
  </si>
  <si>
    <t>26-36/37/38-46-60-61</t>
  </si>
  <si>
    <t>Metol</t>
  </si>
  <si>
    <t>55-55-0</t>
  </si>
  <si>
    <t>22-43-48/22-50/53</t>
  </si>
  <si>
    <t>(DL)-Milchsäure</t>
  </si>
  <si>
    <t>598-82-3</t>
  </si>
  <si>
    <t>L-(+)-Milchsäure</t>
  </si>
  <si>
    <t>79-33-4</t>
  </si>
  <si>
    <t>MILLONs Reagenz</t>
  </si>
  <si>
    <t xml:space="preserve">Quecksilber-(II)-nitrat-Monohydrat </t>
  </si>
  <si>
    <t>7783-34-8</t>
  </si>
  <si>
    <t>13-28-36-45-60-61</t>
  </si>
  <si>
    <r>
      <t xml:space="preserve">T+: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2 %</t>
    </r>
  </si>
  <si>
    <t>Molybdän(VI)-oxid</t>
  </si>
  <si>
    <t>1313-27-5</t>
  </si>
  <si>
    <t>36/37-40</t>
  </si>
  <si>
    <t>Molybdato-phosphorsäure Hydrat</t>
  </si>
  <si>
    <t>51429-74-4</t>
  </si>
  <si>
    <t>Monochlordifluormethan</t>
  </si>
  <si>
    <t xml:space="preserve">R22 </t>
  </si>
  <si>
    <t>(Du Pont de Nemours)</t>
  </si>
  <si>
    <t>75-45-6</t>
  </si>
  <si>
    <t xml:space="preserve">Morin </t>
  </si>
  <si>
    <t xml:space="preserve">C.I. 75660 </t>
  </si>
  <si>
    <t>480-16-0</t>
  </si>
  <si>
    <t>22-45</t>
  </si>
  <si>
    <t>Murexid</t>
  </si>
  <si>
    <t>C.I 56085</t>
  </si>
  <si>
    <t>3051-09-0</t>
  </si>
  <si>
    <t>Naphthalin</t>
  </si>
  <si>
    <t>91-20-3</t>
  </si>
  <si>
    <t>22-40-50/53</t>
  </si>
  <si>
    <t>1-Naphthol</t>
  </si>
  <si>
    <r>
      <t>a</t>
    </r>
    <r>
      <rPr>
        <sz val="10"/>
        <rFont val="Arial"/>
        <family val="2"/>
      </rPr>
      <t>-Naphthol </t>
    </r>
  </si>
  <si>
    <t>90-15-3</t>
  </si>
  <si>
    <t>21/22-37/38-41</t>
  </si>
  <si>
    <t>22-26-37/39</t>
  </si>
  <si>
    <t>2-Naphthol</t>
  </si>
  <si>
    <r>
      <t>b</t>
    </r>
    <r>
      <rPr>
        <sz val="10"/>
        <rFont val="Arial"/>
        <family val="2"/>
      </rPr>
      <t>-Naphthol</t>
    </r>
  </si>
  <si>
    <t>135-19-3</t>
  </si>
  <si>
    <t>20/22-50</t>
  </si>
  <si>
    <t>Naphtholblau-schwarz</t>
  </si>
  <si>
    <t>1064-48-8</t>
  </si>
  <si>
    <t>1-Naphthylamin</t>
  </si>
  <si>
    <t>134-32-7</t>
  </si>
  <si>
    <t>2-Naphthylamin</t>
  </si>
  <si>
    <t>91-59-8</t>
  </si>
  <si>
    <t>45-22-51/53</t>
  </si>
  <si>
    <t>H, K1</t>
  </si>
  <si>
    <r>
      <t xml:space="preserve">T R45: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0,01 %</t>
    </r>
  </si>
  <si>
    <t>86-87-3</t>
  </si>
  <si>
    <t>22-37/38-41</t>
  </si>
  <si>
    <t>22-26-36</t>
  </si>
  <si>
    <t>Natrium</t>
  </si>
  <si>
    <t>7440-23-5</t>
  </si>
  <si>
    <t>Natriumacetat</t>
  </si>
  <si>
    <t>6131-90-4</t>
  </si>
  <si>
    <t>127-09-3</t>
  </si>
  <si>
    <t>Natriumammonium-hydrogenphosphat Tetrahydrat</t>
  </si>
  <si>
    <t>Ammoniumnatriumphosphat</t>
  </si>
  <si>
    <t>7783-13-3</t>
  </si>
  <si>
    <t>Natriumazid</t>
  </si>
  <si>
    <t>26628-22-8</t>
  </si>
  <si>
    <t>28-32-50/53</t>
  </si>
  <si>
    <t>28-45-60-61</t>
  </si>
  <si>
    <t>Natriumbenzoat</t>
  </si>
  <si>
    <t>532-32-1</t>
  </si>
  <si>
    <t>Natriumbromat</t>
  </si>
  <si>
    <t>7789-38-0</t>
  </si>
  <si>
    <t>9-22-36/38</t>
  </si>
  <si>
    <t>Natriumbromid</t>
  </si>
  <si>
    <t>7647-15-6</t>
  </si>
  <si>
    <t>Natriumcarbonat</t>
  </si>
  <si>
    <t>497-19-8</t>
  </si>
  <si>
    <t>Natriumchlorat</t>
  </si>
  <si>
    <t>7775-09-9</t>
  </si>
  <si>
    <t>9-22-51/53</t>
  </si>
  <si>
    <t>13-17-46-61</t>
  </si>
  <si>
    <t>Natriumchlorid</t>
  </si>
  <si>
    <t>7647-14-5</t>
  </si>
  <si>
    <t>Natriumchromat Tetrahydrat</t>
  </si>
  <si>
    <t>Ethanal</t>
  </si>
  <si>
    <t>Acetamid</t>
  </si>
  <si>
    <t>60-35-5</t>
  </si>
  <si>
    <t>36/37</t>
  </si>
  <si>
    <t>- S 4. Klasse, ESP</t>
  </si>
  <si>
    <t>Acetanilid</t>
  </si>
  <si>
    <t>Natriumdichromat Dihydrat</t>
  </si>
  <si>
    <t>7789-12-0</t>
  </si>
  <si>
    <t>T+, N, 0</t>
  </si>
  <si>
    <t>20624-25-3</t>
  </si>
  <si>
    <t>TSPP</t>
  </si>
  <si>
    <t>13472-36-1</t>
  </si>
  <si>
    <t>Natriumdisulfit</t>
  </si>
  <si>
    <t>Natriumpyro­sulfit</t>
  </si>
  <si>
    <t>7681-57-4</t>
  </si>
  <si>
    <t xml:space="preserve">Xn </t>
  </si>
  <si>
    <t>22-31-41</t>
  </si>
  <si>
    <t>26-39-46</t>
  </si>
  <si>
    <t>Natriumdithionit</t>
  </si>
  <si>
    <t>7775-14-6</t>
  </si>
  <si>
    <t>7-22-31</t>
  </si>
  <si>
    <t>7/8-26-28-43</t>
  </si>
  <si>
    <t>Natriumethylat</t>
  </si>
  <si>
    <t>141-52-6</t>
  </si>
  <si>
    <t>Natriumfluorid</t>
  </si>
  <si>
    <t>7681-49-4</t>
  </si>
  <si>
    <t>25-32-36/38</t>
  </si>
  <si>
    <t>22-36-45</t>
  </si>
  <si>
    <t>Natriumformiat</t>
  </si>
  <si>
    <t>141-53-7</t>
  </si>
  <si>
    <t>Natriumhexanitrocobaltat(III)</t>
  </si>
  <si>
    <t>13600-98-1</t>
  </si>
  <si>
    <t>8-40-43</t>
  </si>
  <si>
    <t>25-36/37</t>
  </si>
  <si>
    <t>K3, S </t>
  </si>
  <si>
    <t>Natriumhydrid</t>
  </si>
  <si>
    <t> 60 %ige Suspension in Paraffinöl</t>
  </si>
  <si>
    <t>7646-69-7</t>
  </si>
  <si>
    <t>Natriumdihydrogenphosphat    Monohydrat</t>
  </si>
  <si>
    <t>10049-21-5</t>
  </si>
  <si>
    <t>Natriumhydrogencarbonat</t>
  </si>
  <si>
    <t>144-55-8</t>
  </si>
  <si>
    <t>Dinatriumhydrogenphosphat    Dodecahydrat</t>
  </si>
  <si>
    <t>10039-32-4</t>
  </si>
  <si>
    <t xml:space="preserve">Natriumhydrogen-sulfat </t>
  </si>
  <si>
    <t>10034-88-5</t>
  </si>
  <si>
    <t>24-26</t>
  </si>
  <si>
    <t>Natriumhydrogensulfitlösung</t>
  </si>
  <si>
    <t>w = 39 % in Wasser</t>
  </si>
  <si>
    <t>7631-90-5</t>
  </si>
  <si>
    <t>22-31</t>
  </si>
  <si>
    <t>25-46</t>
  </si>
  <si>
    <t>Natriumhydroxid</t>
  </si>
  <si>
    <t>Ätznatron</t>
  </si>
  <si>
    <t>26-37/39-45</t>
  </si>
  <si>
    <r>
      <t xml:space="preserve">C, R 35: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5 %. </t>
    </r>
  </si>
  <si>
    <r>
      <t xml:space="preserve">C, R 34: 2 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5 %. </t>
    </r>
  </si>
  <si>
    <r>
      <t xml:space="preserve">Xi, R36/38: 0,5 %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2 %</t>
    </r>
  </si>
  <si>
    <t>Natriumhypochloritlösung</t>
  </si>
  <si>
    <t>Chlorbleichlauge</t>
  </si>
  <si>
    <t>7681-52-9</t>
  </si>
  <si>
    <t>31-34</t>
  </si>
  <si>
    <t>26-28-36/37/3945-50</t>
  </si>
  <si>
    <t>Natriumiodat</t>
  </si>
  <si>
    <t>7681-55-2</t>
  </si>
  <si>
    <t>Natriumiodid</t>
  </si>
  <si>
    <t>7681-82-5</t>
  </si>
  <si>
    <t>Natriummolybdat Dihydrat</t>
  </si>
  <si>
    <t>10102-40-6</t>
  </si>
  <si>
    <t>Natriumnitrat</t>
  </si>
  <si>
    <t>7631-99-4</t>
  </si>
  <si>
    <t>8-22</t>
  </si>
  <si>
    <t>Natriumnitrit</t>
  </si>
  <si>
    <t>7632-00-0</t>
  </si>
  <si>
    <t>Nitroprussid­-Natrium</t>
  </si>
  <si>
    <t>13755-38-9</t>
  </si>
  <si>
    <t>22-37-45</t>
  </si>
  <si>
    <t>Natriumnucleinat</t>
  </si>
  <si>
    <t>Ribonucleinsäure Natriumsalz (Roth)</t>
  </si>
  <si>
    <t>Natriumoxalat</t>
  </si>
  <si>
    <t>62-76-0</t>
  </si>
  <si>
    <t>Natriumperborat</t>
  </si>
  <si>
    <r>
      <t xml:space="preserve">Partikelanteil Durchmesser &lt; 50 </t>
    </r>
    <r>
      <rPr>
        <sz val="10"/>
        <rFont val="Symbol"/>
        <family val="1"/>
      </rPr>
      <t>m</t>
    </r>
    <r>
      <rPr>
        <sz val="10"/>
        <rFont val="Arial"/>
        <family val="2"/>
      </rPr>
      <t>m: &lt; 0,1 %</t>
    </r>
  </si>
  <si>
    <t>10486-00-7</t>
  </si>
  <si>
    <t>61-37-41-62</t>
  </si>
  <si>
    <t>53-45-47</t>
  </si>
  <si>
    <r>
      <t>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2, 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3 </t>
    </r>
  </si>
  <si>
    <r>
      <t xml:space="preserve">T: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10 % </t>
    </r>
  </si>
  <si>
    <r>
      <t xml:space="preserve">Partikelanteil Durchmesser &lt; 50 </t>
    </r>
    <r>
      <rPr>
        <sz val="10"/>
        <rFont val="Symbol"/>
        <family val="1"/>
      </rPr>
      <t>m</t>
    </r>
    <r>
      <rPr>
        <sz val="10"/>
        <rFont val="Arial"/>
        <family val="2"/>
      </rPr>
      <t>m: &gt; 0,1 %</t>
    </r>
  </si>
  <si>
    <t>61-20-37-41-62</t>
  </si>
  <si>
    <t>Natriumperchlorat</t>
  </si>
  <si>
    <t>7601-89-0</t>
  </si>
  <si>
    <t>7791-07-3</t>
  </si>
  <si>
    <t>Natriumperiodat</t>
  </si>
  <si>
    <t>Natrium­(meta)-periodat</t>
  </si>
  <si>
    <t>7790-28-5</t>
  </si>
  <si>
    <t>8-22-36/37/38</t>
  </si>
  <si>
    <t>Natriumperoxid</t>
  </si>
  <si>
    <t>1313-60-6</t>
  </si>
  <si>
    <t>8-35</t>
  </si>
  <si>
    <t>8-27-39-45</t>
  </si>
  <si>
    <t>Natriumperoxodisulfat</t>
  </si>
  <si>
    <t>Natriumpersulfat</t>
  </si>
  <si>
    <t>7775-27-1</t>
  </si>
  <si>
    <r>
      <t xml:space="preserve">R 42/43: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1 %</t>
    </r>
  </si>
  <si>
    <r>
      <t>tri-</t>
    </r>
    <r>
      <rPr>
        <sz val="10"/>
        <rFont val="Arial"/>
        <family val="2"/>
      </rPr>
      <t>Natriumphosphat Dodecahydrat</t>
    </r>
  </si>
  <si>
    <t>Alfa-Aesar</t>
  </si>
  <si>
    <t>10101-89-0</t>
  </si>
  <si>
    <t>Natriumpolysulfid</t>
  </si>
  <si>
    <t>1344-08-7</t>
  </si>
  <si>
    <t>25-31-34-50</t>
  </si>
  <si>
    <t>Rhodizonsäure Dinatriumsalz</t>
  </si>
  <si>
    <t>523-21-7</t>
  </si>
  <si>
    <t>Natriumsalicylat</t>
  </si>
  <si>
    <t>54-21-7</t>
  </si>
  <si>
    <t>Natriumsilikat</t>
  </si>
  <si>
    <t>Wasserglas</t>
  </si>
  <si>
    <t>(Sigma-Aldrich)</t>
  </si>
  <si>
    <t>1344-09-8</t>
  </si>
  <si>
    <t>7727-73-3</t>
  </si>
  <si>
    <t>Natriumsulfat</t>
  </si>
  <si>
    <t>7757-82-6</t>
  </si>
  <si>
    <t>Natriumsulfid</t>
  </si>
  <si>
    <t>Nonahydrat</t>
  </si>
  <si>
    <t>1313-84-4</t>
  </si>
  <si>
    <t>22-24-31-34-50</t>
  </si>
  <si>
    <t>Natriumsulfit</t>
  </si>
  <si>
    <t>7757-83-7</t>
  </si>
  <si>
    <t>1330-43-4</t>
  </si>
  <si>
    <t> T</t>
  </si>
  <si>
    <t>- S, -w,  ESP</t>
  </si>
  <si>
    <r>
      <t xml:space="preserve">T, R 60-61: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4,5 % </t>
    </r>
  </si>
  <si>
    <t>Natriumthiocyanat</t>
  </si>
  <si>
    <t>Natriumrhodanid</t>
  </si>
  <si>
    <t>540-72-7</t>
  </si>
  <si>
    <t xml:space="preserve"> S 4.   Klasse</t>
  </si>
  <si>
    <t>Natriumthiosulfat Pentahydrat</t>
  </si>
  <si>
    <t>10102-17-7</t>
  </si>
  <si>
    <t>650-51-1</t>
  </si>
  <si>
    <t>37-50/53</t>
  </si>
  <si>
    <t>46-60-61</t>
  </si>
  <si>
    <t>Natriumwolframat Dihydrat</t>
  </si>
  <si>
    <t>10213-10-2</t>
  </si>
  <si>
    <t>Natronkalk</t>
  </si>
  <si>
    <t>Plätzchen mit Indikator</t>
  </si>
  <si>
    <t>Nelkenöl</t>
  </si>
  <si>
    <t>Oleum Caryophyllorum</t>
  </si>
  <si>
    <t>8000-34-8</t>
  </si>
  <si>
    <t>36-43-65</t>
  </si>
  <si>
    <t>24-37-62</t>
  </si>
  <si>
    <t> S</t>
  </si>
  <si>
    <r>
      <t xml:space="preserve">Xn R 43: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1 %</t>
    </r>
  </si>
  <si>
    <t>Nesslersches Reagens</t>
  </si>
  <si>
    <t>Kaliumtetraiodomercurat</t>
  </si>
  <si>
    <t>7783-33-7</t>
  </si>
  <si>
    <t>8 </t>
  </si>
  <si>
    <r>
      <t xml:space="preserve">T: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2 %</t>
    </r>
  </si>
  <si>
    <t>Neumethylenblau N</t>
  </si>
  <si>
    <t>Zinkchlorid Doppelsalz</t>
  </si>
  <si>
    <t>C.I. 52030</t>
  </si>
  <si>
    <t>6586-05-6</t>
  </si>
  <si>
    <t>26-26 </t>
  </si>
  <si>
    <t>Neutralrot</t>
  </si>
  <si>
    <t>C.I. 50040 (Merck)</t>
  </si>
  <si>
    <t>553-24-2</t>
  </si>
  <si>
    <t>Nickel</t>
  </si>
  <si>
    <t>Pulver, &lt; 1 mm</t>
  </si>
  <si>
    <t>7440-02-0</t>
  </si>
  <si>
    <t>40-43-48/23-52/53</t>
  </si>
  <si>
    <t>36/37/39-45-61</t>
  </si>
  <si>
    <t>Nickel(II)-chlorid</t>
  </si>
  <si>
    <t>7718-54-9</t>
  </si>
  <si>
    <t>49-61-23/25-38-42/43-48/23-68-50/53</t>
  </si>
  <si>
    <r>
      <t>K1, M3, 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2, S</t>
    </r>
  </si>
  <si>
    <r>
      <t xml:space="preserve">T: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0,1 %</t>
    </r>
  </si>
  <si>
    <t>Nickel(II)-chlorid Hexahydrat</t>
  </si>
  <si>
    <t>7791-20-0</t>
  </si>
  <si>
    <t>Nickel(II)-hydroxidcarbonat</t>
  </si>
  <si>
    <t>Nickelcarbonat basisch</t>
  </si>
  <si>
    <t>12607-70-4</t>
  </si>
  <si>
    <t>22-40-43-50/53</t>
  </si>
  <si>
    <t>22-36/37-60-61</t>
  </si>
  <si>
    <t>Nickel(II)-nitrat Hexahydrat</t>
  </si>
  <si>
    <t>13478-00-7</t>
  </si>
  <si>
    <t>49-61-8-20/22-38-41-42/43-48/23-60-50/53</t>
  </si>
  <si>
    <t>Nickel(II)-sulfat Hexahydrat</t>
  </si>
  <si>
    <t>10101-97-0</t>
  </si>
  <si>
    <t>49-61-20/22-38-42/43-48/23-68-50/53</t>
  </si>
  <si>
    <t>Nickel(II)-acetat Tetrahydrat</t>
  </si>
  <si>
    <t>6018-89-9</t>
  </si>
  <si>
    <t>49-61-20/22-42/43-48/23-68-50/53</t>
  </si>
  <si>
    <t>Nickel(II)-bromid Wasserfrei</t>
  </si>
  <si>
    <t>13462-88-9</t>
  </si>
  <si>
    <t>49-61-42/43-48/23-68-50/53</t>
  </si>
  <si>
    <t>Nickel(II)-carbonat Wasserfrei</t>
  </si>
  <si>
    <t>3333-67-3</t>
  </si>
  <si>
    <t>Nickel(IV)-oxid</t>
  </si>
  <si>
    <t>Nickeldioxid</t>
  </si>
  <si>
    <t>12035-36-8</t>
  </si>
  <si>
    <t>Nickel(II)-hydroxid</t>
  </si>
  <si>
    <t>12054-48-7</t>
  </si>
  <si>
    <t>Nickel(II)-oxid</t>
  </si>
  <si>
    <t>1313-99-1</t>
  </si>
  <si>
    <t>Nickel(II)-sulfat Heptahydrat</t>
  </si>
  <si>
    <t>Nickelsulfat</t>
  </si>
  <si>
    <t>10101-98-1</t>
  </si>
  <si>
    <t>Nickel(II)-sulfid</t>
  </si>
  <si>
    <t>16812-54-7</t>
  </si>
  <si>
    <t>49-43-48/23-68-50/53</t>
  </si>
  <si>
    <t>K1, M3,  S</t>
  </si>
  <si>
    <t>Nickeltetracarbonyl</t>
  </si>
  <si>
    <t>13463-39-3</t>
  </si>
  <si>
    <t>61-11-26-40-50/53</t>
  </si>
  <si>
    <r>
      <t>K3, 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2</t>
    </r>
  </si>
  <si>
    <t>(-)-Nicotin</t>
  </si>
  <si>
    <t>54-11-5</t>
  </si>
  <si>
    <t>25-27-51/53</t>
  </si>
  <si>
    <t>36/37-45-61</t>
  </si>
  <si>
    <r>
      <t xml:space="preserve">T: 1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7 %</t>
    </r>
  </si>
  <si>
    <t>Ninhydrin</t>
  </si>
  <si>
    <t>Indantrion Monohydrat</t>
  </si>
  <si>
    <t>485-47-2</t>
  </si>
  <si>
    <t xml:space="preserve">Ninhydrin </t>
  </si>
  <si>
    <t>Sprühreagenz</t>
  </si>
  <si>
    <t>0,5 g in 100 ml Ethanol</t>
  </si>
  <si>
    <t>7-26</t>
  </si>
  <si>
    <r>
      <t>4-Nitro-</t>
    </r>
    <r>
      <rPr>
        <i/>
        <sz val="10"/>
        <rFont val="Arial"/>
        <family val="2"/>
      </rPr>
      <t>m</t>
    </r>
    <r>
      <rPr>
        <sz val="10"/>
        <rFont val="Arial"/>
        <family val="2"/>
      </rPr>
      <t>-kresol</t>
    </r>
  </si>
  <si>
    <t>3-Methyl-4-nitrophenol</t>
  </si>
  <si>
    <t>2581-34-2</t>
  </si>
  <si>
    <t>2-Nitroanilin</t>
  </si>
  <si>
    <t>88-74-4</t>
  </si>
  <si>
    <t>3-Nitroanilin</t>
  </si>
  <si>
    <r>
      <t>m</t>
    </r>
    <r>
      <rPr>
        <sz val="10"/>
        <rFont val="Arial"/>
        <family val="2"/>
      </rPr>
      <t>-Nitroanilin</t>
    </r>
  </si>
  <si>
    <t>99-09-2</t>
  </si>
  <si>
    <t>4-Nitroanilin</t>
  </si>
  <si>
    <t>100-01-6</t>
  </si>
  <si>
    <t>4-Nitrobenzaldehyd</t>
  </si>
  <si>
    <t>555-16-8</t>
  </si>
  <si>
    <t>Nitrobenzol</t>
  </si>
  <si>
    <t>98-95-3</t>
  </si>
  <si>
    <t>23/24/25-40-48/23/24-51/53-62</t>
  </si>
  <si>
    <r>
      <t>K3, 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3, H</t>
    </r>
  </si>
  <si>
    <t>Nitrocellulose</t>
  </si>
  <si>
    <t>9004-70-0</t>
  </si>
  <si>
    <t>- S, oL, ESP</t>
  </si>
  <si>
    <t>Stickstoffgehalt: w &lt; 12,6 %, angefeuchtet mit Wasser</t>
  </si>
  <si>
    <t>(Synthesia)</t>
  </si>
  <si>
    <t>7-16-33-37/39-48</t>
  </si>
  <si>
    <t>Nitroethan</t>
  </si>
  <si>
    <t>79-24-3</t>
  </si>
  <si>
    <t>10-20/22</t>
  </si>
  <si>
    <t>9-25-41</t>
  </si>
  <si>
    <t>Nitromethan</t>
  </si>
  <si>
    <t>75-52-5</t>
  </si>
  <si>
    <t>5-10-22</t>
  </si>
  <si>
    <t>1-Nitronaphthalin</t>
  </si>
  <si>
    <t>86-57-7</t>
  </si>
  <si>
    <t>22-36-51/53</t>
  </si>
  <si>
    <t>28-36-60-61</t>
  </si>
  <si>
    <r>
      <t xml:space="preserve">Xn: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25%</t>
    </r>
  </si>
  <si>
    <t>2-Nitronaphthalin</t>
  </si>
  <si>
    <t>581-89-5</t>
  </si>
  <si>
    <t>45-51/53</t>
  </si>
  <si>
    <t>2-Nitrophenol</t>
  </si>
  <si>
    <t>88-75-5</t>
  </si>
  <si>
    <t>3-Nitrophenol</t>
  </si>
  <si>
    <t>554-84-7</t>
  </si>
  <si>
    <t>21/22-36-52/53</t>
  </si>
  <si>
    <t>26-28-36-61</t>
  </si>
  <si>
    <t>4-Nitrophenol</t>
  </si>
  <si>
    <t>100-02-7</t>
  </si>
  <si>
    <t>20/21/22-33</t>
  </si>
  <si>
    <t>Dimethylnitrosamin</t>
  </si>
  <si>
    <t>62-75-9</t>
  </si>
  <si>
    <t>45-25-26-48/25-51/53</t>
  </si>
  <si>
    <r>
      <t>N-Nitrosodi-</t>
    </r>
    <r>
      <rPr>
        <i/>
        <sz val="10"/>
        <rFont val="Arial"/>
        <family val="2"/>
      </rPr>
      <t>n</t>
    </r>
    <r>
      <rPr>
        <sz val="10"/>
        <rFont val="Arial"/>
        <family val="2"/>
      </rPr>
      <t>-propylamin</t>
    </r>
  </si>
  <si>
    <t>Dipropylnitrosamin </t>
  </si>
  <si>
    <t>621-64-7</t>
  </si>
  <si>
    <r>
      <t>p</t>
    </r>
    <r>
      <rPr>
        <sz val="10"/>
        <rFont val="Arial"/>
        <family val="2"/>
      </rPr>
      <t>-Nitrosophenol</t>
    </r>
  </si>
  <si>
    <t>104-91-6</t>
  </si>
  <si>
    <t>22-68-41-51/53</t>
  </si>
  <si>
    <t>26-36/37/39-47-49-61</t>
  </si>
  <si>
    <t>M3 </t>
  </si>
  <si>
    <t>2-Nitrotoluol</t>
  </si>
  <si>
    <t>88-72-2</t>
  </si>
  <si>
    <t>45-46-22-62-51/53</t>
  </si>
  <si>
    <r>
      <t>K2, M2, 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3, H</t>
    </r>
  </si>
  <si>
    <t>4-Nitrotoluol</t>
  </si>
  <si>
    <t>99-99-0</t>
  </si>
  <si>
    <t>23/24/25-33-51/53</t>
  </si>
  <si>
    <t>28-37-45-61</t>
  </si>
  <si>
    <t>Nitroverdünnung</t>
  </si>
  <si>
    <t>11-20-38-65</t>
  </si>
  <si>
    <t>3/7/9-20/21-24/25-29-33-62 </t>
  </si>
  <si>
    <r>
      <t>n</t>
    </r>
    <r>
      <rPr>
        <sz val="10"/>
        <rFont val="Arial"/>
        <family val="2"/>
      </rPr>
      <t>-Nonan</t>
    </r>
  </si>
  <si>
    <t>111-84-2</t>
  </si>
  <si>
    <t>Normalbenzin FAM</t>
  </si>
  <si>
    <t>M3, H</t>
  </si>
  <si>
    <t>1-Bromoctan</t>
  </si>
  <si>
    <t>111-83-1</t>
  </si>
  <si>
    <t>50/53</t>
  </si>
  <si>
    <t>Bromoform</t>
  </si>
  <si>
    <t>Tribrommethan</t>
  </si>
  <si>
    <t>75-25-2</t>
  </si>
  <si>
    <t>22-23-36/38-51/53</t>
  </si>
  <si>
    <t>28-45-61-63</t>
  </si>
  <si>
    <t>2-Brompentan</t>
  </si>
  <si>
    <t>107-81-3</t>
  </si>
  <si>
    <t>11-36/37/38</t>
  </si>
  <si>
    <t>16-26-36/37/39</t>
  </si>
  <si>
    <t>2-Bromphenol</t>
  </si>
  <si>
    <t>95-56-7</t>
  </si>
  <si>
    <t>24/25-61</t>
  </si>
  <si>
    <t>3-Bromphenol</t>
  </si>
  <si>
    <t>591-20-8</t>
  </si>
  <si>
    <t>4-Bromphenol</t>
  </si>
  <si>
    <t>106-41-2</t>
  </si>
  <si>
    <t>22-38</t>
  </si>
  <si>
    <t>Bromphenolblau</t>
  </si>
  <si>
    <t>34725-61-6</t>
  </si>
  <si>
    <t>1-Brompropan</t>
  </si>
  <si>
    <t>106-94-5</t>
  </si>
  <si>
    <t>T, F</t>
  </si>
  <si>
    <t>60-11-36/37/38-48/20-63-67</t>
  </si>
  <si>
    <r>
      <t>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2, 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3</t>
    </r>
  </si>
  <si>
    <t>2-Brompropan</t>
  </si>
  <si>
    <t>75-26-3</t>
  </si>
  <si>
    <t>60-11-48/20-66</t>
  </si>
  <si>
    <t>16-53-45</t>
  </si>
  <si>
    <r>
      <t>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1</t>
    </r>
  </si>
  <si>
    <t>- S. –w, ESP</t>
  </si>
  <si>
    <t>N-Bromsuccinimid</t>
  </si>
  <si>
    <t>128-08-5</t>
  </si>
  <si>
    <t>38-41-51/53</t>
  </si>
  <si>
    <t>26-39-61</t>
  </si>
  <si>
    <r>
      <t>Iso</t>
    </r>
    <r>
      <rPr>
        <sz val="10"/>
        <rFont val="Arial"/>
        <family val="2"/>
      </rPr>
      <t>-Octan</t>
    </r>
  </si>
  <si>
    <r>
      <t>n</t>
    </r>
    <r>
      <rPr>
        <sz val="10"/>
        <rFont val="Arial"/>
        <family val="2"/>
      </rPr>
      <t>-Octan</t>
    </r>
  </si>
  <si>
    <t>111-65-9</t>
  </si>
  <si>
    <t>Octan-1-ol</t>
  </si>
  <si>
    <t>Caprylalkohol</t>
  </si>
  <si>
    <t>111-87-5</t>
  </si>
  <si>
    <r>
      <t>n</t>
    </r>
    <r>
      <rPr>
        <sz val="10"/>
        <rFont val="Arial"/>
        <family val="2"/>
      </rPr>
      <t>-Octansäure</t>
    </r>
  </si>
  <si>
    <t>124-07-2</t>
  </si>
  <si>
    <t>Oct-1-en</t>
  </si>
  <si>
    <t>Fluka/Rie­del-de Haen</t>
  </si>
  <si>
    <t>111-66-0</t>
  </si>
  <si>
    <t>11-51/53-65</t>
  </si>
  <si>
    <t>16-60-62</t>
  </si>
  <si>
    <t>Oleum</t>
  </si>
  <si>
    <t>Rauchende Schwefelsäure</t>
  </si>
  <si>
    <t>8014-95-7</t>
  </si>
  <si>
    <t>14-35-37</t>
  </si>
  <si>
    <t>26-30-45</t>
  </si>
  <si>
    <t xml:space="preserve">Ölsäure </t>
  </si>
  <si>
    <t>112-80-1</t>
  </si>
  <si>
    <t>Orange I</t>
  </si>
  <si>
    <t>523-44-4</t>
  </si>
  <si>
    <t>Orange II</t>
  </si>
  <si>
    <t xml:space="preserve">C.I.15510, </t>
  </si>
  <si>
    <t xml:space="preserve">(Fluka)  </t>
  </si>
  <si>
    <t>633-96-5</t>
  </si>
  <si>
    <t>36/37/38 26-36</t>
  </si>
  <si>
    <t>Orcein</t>
  </si>
  <si>
    <t>1400-62-0</t>
  </si>
  <si>
    <t>Osmiumtetraoxid</t>
  </si>
  <si>
    <t>20816-12-0</t>
  </si>
  <si>
    <t>26/27/28-34</t>
  </si>
  <si>
    <t>Oxalate</t>
  </si>
  <si>
    <t>Salze von Oxalsäure</t>
  </si>
  <si>
    <t>- S 4. Klasse </t>
  </si>
  <si>
    <t>144-62-7</t>
  </si>
  <si>
    <t>Ozon</t>
  </si>
  <si>
    <t>10028-15-6</t>
  </si>
  <si>
    <t>O, T+, C</t>
  </si>
  <si>
    <t>Palladium(II)-chlorid</t>
  </si>
  <si>
    <t>7647-10-1</t>
  </si>
  <si>
    <t>37/38-41-43</t>
  </si>
  <si>
    <t>Palmitinsäure</t>
  </si>
  <si>
    <t>Hexadecansäure</t>
  </si>
  <si>
    <t xml:space="preserve">(Merck) </t>
  </si>
  <si>
    <t>57-10-3</t>
  </si>
  <si>
    <t>Pankreatin</t>
  </si>
  <si>
    <t>8049-47-6</t>
  </si>
  <si>
    <t>Paraffin</t>
  </si>
  <si>
    <t>8012-95-1</t>
  </si>
  <si>
    <t>Paraformaldehyd</t>
  </si>
  <si>
    <t>Polyoxymethylen</t>
  </si>
  <si>
    <t>30525-89-4</t>
  </si>
  <si>
    <t>20/22-36/37/38-40-43</t>
  </si>
  <si>
    <t>22-26-36/37</t>
  </si>
  <si>
    <t>Paraldehyd</t>
  </si>
  <si>
    <t>123-63-7</t>
  </si>
  <si>
    <t>Parathion</t>
  </si>
  <si>
    <t>56-38-2</t>
  </si>
  <si>
    <t>24-26/28-48/25-50/53</t>
  </si>
  <si>
    <t>0,1 E</t>
  </si>
  <si>
    <r>
      <t xml:space="preserve">T+: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7 %</t>
    </r>
  </si>
  <si>
    <t>Patentblau V</t>
  </si>
  <si>
    <t>Calciumsalz</t>
  </si>
  <si>
    <t>C.I. 42051</t>
  </si>
  <si>
    <t xml:space="preserve">Fluka </t>
  </si>
  <si>
    <t>3536-49-0</t>
  </si>
  <si>
    <t>Pentachlorphenol</t>
  </si>
  <si>
    <t> PCP</t>
  </si>
  <si>
    <t>87-86-5</t>
  </si>
  <si>
    <t>24/25-26-36/37/38-40-50/53</t>
  </si>
  <si>
    <t>22-36/37-45-52-60-61</t>
  </si>
  <si>
    <r>
      <t>K2, M3, 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2, H</t>
    </r>
  </si>
  <si>
    <r>
      <t>n</t>
    </r>
    <r>
      <rPr>
        <sz val="10"/>
        <rFont val="Arial"/>
        <family val="2"/>
      </rPr>
      <t>-Pentan</t>
    </r>
  </si>
  <si>
    <t>109-66-0</t>
  </si>
  <si>
    <t>Pentan-1-ol</t>
  </si>
  <si>
    <t>Amylalkohol</t>
  </si>
  <si>
    <t>71-41-0</t>
  </si>
  <si>
    <t>10-20-37/38</t>
  </si>
  <si>
    <t>Pentan-2-ol</t>
  </si>
  <si>
    <t>6032-29-7</t>
  </si>
  <si>
    <t>Pentan-3-ol</t>
  </si>
  <si>
    <t>584-02-1</t>
  </si>
  <si>
    <t>Pentansäure</t>
  </si>
  <si>
    <t>109-52-4</t>
  </si>
  <si>
    <t>34-52/53</t>
  </si>
  <si>
    <t>26-36-45-61</t>
  </si>
  <si>
    <t>Pentylacetat</t>
  </si>
  <si>
    <t>628-63-7</t>
  </si>
  <si>
    <t>Pep-ex</t>
  </si>
  <si>
    <t>Fleckenentferner</t>
  </si>
  <si>
    <t>(Ecolab)</t>
  </si>
  <si>
    <t>22-36 </t>
  </si>
  <si>
    <t>17-26 </t>
  </si>
  <si>
    <t>Pepsin A</t>
  </si>
  <si>
    <t>9001-75-6</t>
  </si>
  <si>
    <t>36/37/38-42</t>
  </si>
  <si>
    <t>22-24-26-36/37</t>
  </si>
  <si>
    <t xml:space="preserve">Pepton </t>
  </si>
  <si>
    <t>(aus Fleisch)</t>
  </si>
  <si>
    <t>91079-38-8</t>
  </si>
  <si>
    <t>Perchlorsäure</t>
  </si>
  <si>
    <t>7601-90-3</t>
  </si>
  <si>
    <t>5-8-35</t>
  </si>
  <si>
    <t>23-26-36-45</t>
  </si>
  <si>
    <r>
      <t xml:space="preserve">O, C, R 5-8-35: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50% Xi R36/38: 1 %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10 %</t>
    </r>
  </si>
  <si>
    <t>Perhydrit® Tabletten</t>
  </si>
  <si>
    <t>124-43-6</t>
  </si>
  <si>
    <t>37/38-41</t>
  </si>
  <si>
    <t>Petrolether</t>
  </si>
  <si>
    <t>Siedebereich 50 ° - 70 °C (Merck)</t>
  </si>
  <si>
    <t>16-23-24-33-36/37-61-62</t>
  </si>
  <si>
    <t>Petroleumbenzin</t>
  </si>
  <si>
    <t>Siedebereich 70 ° -90 ° C (Merck)</t>
  </si>
  <si>
    <t>Siedebereich 100 °-140 ° C (Merck)</t>
  </si>
  <si>
    <t>Ligroin</t>
  </si>
  <si>
    <t>Siedebereich 140 ° – 180 ° C</t>
  </si>
  <si>
    <t>64742-82-1</t>
  </si>
  <si>
    <t>Phenacetin</t>
  </si>
  <si>
    <t>1-Acetami­no­-4-ethoxy-benzol</t>
  </si>
  <si>
    <t>(Sigma)</t>
  </si>
  <si>
    <t>62-44-2</t>
  </si>
  <si>
    <t>Phenanthren</t>
  </si>
  <si>
    <t>85-01-8</t>
  </si>
  <si>
    <r>
      <t>o</t>
    </r>
    <r>
      <rPr>
        <sz val="10"/>
        <rFont val="Arial"/>
        <family val="2"/>
      </rPr>
      <t>-Phenanthrolin Monohydrat</t>
    </r>
  </si>
  <si>
    <t>5144-89-8</t>
  </si>
  <si>
    <t>25-50/53</t>
  </si>
  <si>
    <t>45-60-61</t>
  </si>
  <si>
    <t>Phenol</t>
  </si>
  <si>
    <t>Hydroxybenzol, Carbolsäure</t>
  </si>
  <si>
    <t>108-95-2</t>
  </si>
  <si>
    <t>23/24/25-34-48/20/21/22-68</t>
  </si>
  <si>
    <t>24/25-26-28-36/37/39-45</t>
  </si>
  <si>
    <r>
      <t xml:space="preserve">T: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10 %</t>
    </r>
  </si>
  <si>
    <t>Phenolphthalein</t>
  </si>
  <si>
    <t>77-09-8</t>
  </si>
  <si>
    <t>45-62-68</t>
  </si>
  <si>
    <r>
      <t>K2, M3, 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3 </t>
    </r>
  </si>
  <si>
    <t>- S, -w, oL</t>
  </si>
  <si>
    <r>
      <t xml:space="preserve">T, R 45: 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1 %</t>
    </r>
  </si>
  <si>
    <t>Phenolrot</t>
  </si>
  <si>
    <t>143-74-8</t>
  </si>
  <si>
    <t>L-Phenylalanin</t>
  </si>
  <si>
    <t>63-91-2</t>
  </si>
  <si>
    <t>1,2-Phenylendiamin</t>
  </si>
  <si>
    <t>95-54-5</t>
  </si>
  <si>
    <t>20/21-25-36-40-43-50/53</t>
  </si>
  <si>
    <t>K3, M3, S</t>
  </si>
  <si>
    <t>1,3-Phenylendiamin</t>
  </si>
  <si>
    <t>108-45-2</t>
  </si>
  <si>
    <t>23/24/25-36-43-50/53-68</t>
  </si>
  <si>
    <t>M3, S</t>
  </si>
  <si>
    <t>1,4-Phenylendiamin</t>
  </si>
  <si>
    <t>106-50-3</t>
  </si>
  <si>
    <t>23/24/25-36-43-50/53</t>
  </si>
  <si>
    <t>Phenylessigsäure</t>
  </si>
  <si>
    <r>
      <t>a</t>
    </r>
    <r>
      <rPr>
        <sz val="10"/>
        <rFont val="Arial"/>
        <family val="2"/>
      </rPr>
      <t>-Tolylsäure</t>
    </r>
  </si>
  <si>
    <t>103-82-2</t>
  </si>
  <si>
    <t>Klase</t>
  </si>
  <si>
    <t>Phenylhydrazin</t>
  </si>
  <si>
    <t>100-63-0</t>
  </si>
  <si>
    <t>45-23/24/25-36/38-43-48/23/24/25-50-68</t>
  </si>
  <si>
    <t>Phenylhydrazinhydrochlorid</t>
  </si>
  <si>
    <t>59-88-1</t>
  </si>
  <si>
    <t>1-Phenyl-2-thioharnstoff</t>
  </si>
  <si>
    <t>103-85-5</t>
  </si>
  <si>
    <t>T+ </t>
  </si>
  <si>
    <t>28-43 </t>
  </si>
  <si>
    <t>28-36/37-45 </t>
  </si>
  <si>
    <t>Phloroglucin</t>
  </si>
  <si>
    <t>108-73-6</t>
  </si>
  <si>
    <t>26-37 </t>
  </si>
  <si>
    <t>Phosphonsäure</t>
  </si>
  <si>
    <t>Phosphorige Säure</t>
  </si>
  <si>
    <t>13598-36-2</t>
  </si>
  <si>
    <t>rot</t>
  </si>
  <si>
    <t>7723-14-0</t>
  </si>
  <si>
    <t>11-16-52/53</t>
  </si>
  <si>
    <t>7-43-61</t>
  </si>
  <si>
    <t>Phosphor(V)-bromid</t>
  </si>
  <si>
    <t>Phosphorpentabromid</t>
  </si>
  <si>
    <t>7789-69-7</t>
  </si>
  <si>
    <t>Klasse</t>
  </si>
  <si>
    <t>Phosphor(III)-bromid</t>
  </si>
  <si>
    <t>7789-60-8</t>
  </si>
  <si>
    <t>14-34-37</t>
  </si>
  <si>
    <t>Phosphor(III)-chlorid</t>
  </si>
  <si>
    <t>Phosphor­trichlorid</t>
  </si>
  <si>
    <t>7719-12-2</t>
  </si>
  <si>
    <t>14-26/28-29-35-48/20</t>
  </si>
  <si>
    <t>Phosphor(V)-oxid</t>
  </si>
  <si>
    <t>1314-56-3</t>
  </si>
  <si>
    <t>22-26-45</t>
  </si>
  <si>
    <t>Phosphor(V)-chlorid</t>
  </si>
  <si>
    <t>Phosphorpentachlorid</t>
  </si>
  <si>
    <t>10026-13-8</t>
  </si>
  <si>
    <t>14-22-26-34-29-48/20</t>
  </si>
  <si>
    <r>
      <t>o</t>
    </r>
    <r>
      <rPr>
        <sz val="10"/>
        <rFont val="Arial"/>
        <family val="2"/>
      </rPr>
      <t>-Phosphorsäure</t>
    </r>
  </si>
  <si>
    <t> E 338</t>
  </si>
  <si>
    <t>7664-38-2</t>
  </si>
  <si>
    <r>
      <t xml:space="preserve">Xi R36/38: 10%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25%</t>
    </r>
  </si>
  <si>
    <t>Stabilisiert mit Natrium-metaphosphat</t>
  </si>
  <si>
    <t>37267-86-0</t>
  </si>
  <si>
    <t>Phosphorwasserstoff</t>
  </si>
  <si>
    <t>Phosphin</t>
  </si>
  <si>
    <t>7803-51-2</t>
  </si>
  <si>
    <t>12-17-26-34-50</t>
  </si>
  <si>
    <t>28-36/37-45-61-63</t>
  </si>
  <si>
    <t>Phthalimid Kalium</t>
  </si>
  <si>
    <t>1074-82-4</t>
  </si>
  <si>
    <t>Phthalsäure</t>
  </si>
  <si>
    <t>Benzol-1,2-dicarbonsäure</t>
  </si>
  <si>
    <t>88-99-3</t>
  </si>
  <si>
    <t>26-37/39</t>
  </si>
  <si>
    <t>Phthalsäureanhydrid</t>
  </si>
  <si>
    <t>103-84-4</t>
  </si>
  <si>
    <t>Xn: w &gt; 25%</t>
  </si>
  <si>
    <t>Aceton</t>
  </si>
  <si>
    <t>Propanon</t>
  </si>
  <si>
    <t>67-64-1</t>
  </si>
  <si>
    <t>F, Xi</t>
  </si>
  <si>
    <t>11-36-66-67</t>
  </si>
  <si>
    <t>9-16-26</t>
  </si>
  <si>
    <t xml:space="preserve">bS </t>
  </si>
  <si>
    <t>bF K</t>
  </si>
  <si>
    <t>Acetonitril</t>
  </si>
  <si>
    <t>75-05-8</t>
  </si>
  <si>
    <t>F, Xn</t>
  </si>
  <si>
    <t>11-20/21/22-36</t>
  </si>
  <si>
    <t>16-36/37</t>
  </si>
  <si>
    <t xml:space="preserve">bF </t>
  </si>
  <si>
    <t>Acetophenon</t>
  </si>
  <si>
    <t>98-86-2</t>
  </si>
  <si>
    <t>Acetylaceton</t>
  </si>
  <si>
    <t>123-54-6</t>
  </si>
  <si>
    <t>10-22</t>
  </si>
  <si>
    <t>21-23-24/25</t>
  </si>
  <si>
    <t>Acetylbromid</t>
  </si>
  <si>
    <t>506-96-7</t>
  </si>
  <si>
    <t>14-34</t>
  </si>
  <si>
    <t>9-26-36/37/39-45</t>
  </si>
  <si>
    <r>
      <t xml:space="preserve">Xi: 5%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10%</t>
    </r>
  </si>
  <si>
    <t>Acetylchlorid</t>
  </si>
  <si>
    <t>75-36-5</t>
  </si>
  <si>
    <t>F, C</t>
  </si>
  <si>
    <t>11-14-34</t>
  </si>
  <si>
    <t>9-16-26-45</t>
  </si>
  <si>
    <t>1-Acetylnaphthalin</t>
  </si>
  <si>
    <t>Lithiumchlorid</t>
  </si>
  <si>
    <t>7447-41-8</t>
  </si>
  <si>
    <t>Lithiumfluorid</t>
  </si>
  <si>
    <t>7789-24-4</t>
  </si>
  <si>
    <t>25-36/37/38</t>
  </si>
  <si>
    <t>22-26-37-45</t>
  </si>
  <si>
    <r>
      <t xml:space="preserve">Xn, Xi: 3%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25%</t>
    </r>
  </si>
  <si>
    <t>Lithiumhydrid</t>
  </si>
  <si>
    <t>7580-67-8</t>
  </si>
  <si>
    <t>15-34</t>
  </si>
  <si>
    <t>0,025 E</t>
  </si>
  <si>
    <t>Lithiumhydroxid Monohydrat</t>
  </si>
  <si>
    <t>1310-66-3</t>
  </si>
  <si>
    <t>26-</t>
  </si>
  <si>
    <r>
      <t xml:space="preserve">Xi: 1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5 %</t>
    </r>
  </si>
  <si>
    <t xml:space="preserve">Lithiumiodid </t>
  </si>
  <si>
    <t>10377-51-2</t>
  </si>
  <si>
    <t>61-36/37/38</t>
  </si>
  <si>
    <r>
      <t>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1 </t>
    </r>
  </si>
  <si>
    <t xml:space="preserve">Lithiumnitrat </t>
  </si>
  <si>
    <t>7790-69-4</t>
  </si>
  <si>
    <t xml:space="preserve">Lithiumsulfat </t>
  </si>
  <si>
    <t>10102-25-7</t>
  </si>
  <si>
    <t>Luft</t>
  </si>
  <si>
    <t>Air Liquide</t>
  </si>
  <si>
    <t xml:space="preserve">Luminol </t>
  </si>
  <si>
    <t>521-31-3</t>
  </si>
  <si>
    <t>36/37/38 </t>
  </si>
  <si>
    <t>26-36/37 </t>
  </si>
  <si>
    <t>657-27-2</t>
  </si>
  <si>
    <t>Magnesium</t>
  </si>
  <si>
    <t>phlegmatisiert</t>
  </si>
  <si>
    <t>7439-95-4</t>
  </si>
  <si>
    <t>11-15</t>
  </si>
  <si>
    <t>Magnesiumacetat Tetrahydrat</t>
  </si>
  <si>
    <t>16674-78-5</t>
  </si>
  <si>
    <t xml:space="preserve">Magnesiumcarbonat </t>
  </si>
  <si>
    <t>12125-28-9</t>
  </si>
  <si>
    <t>Magnesiumchlorid Hexahydrat</t>
  </si>
  <si>
    <t>7791-18-6</t>
  </si>
  <si>
    <t>Magnesiumhydroxid</t>
  </si>
  <si>
    <t>Albumin Fraktion V</t>
  </si>
  <si>
    <t>90604-29-8</t>
  </si>
  <si>
    <t>Alizarin</t>
  </si>
  <si>
    <t>Hedinger</t>
  </si>
  <si>
    <t>72-48-0</t>
  </si>
  <si>
    <t>22-26-46</t>
  </si>
  <si>
    <t>- S 4.- Klasse</t>
  </si>
  <si>
    <t>Alizarinrot S</t>
  </si>
  <si>
    <t>C.I. 58005, (Merck)</t>
  </si>
  <si>
    <t>130-22-3</t>
  </si>
  <si>
    <t>Alizaringelb GG</t>
  </si>
  <si>
    <t>C.I. 14025 (Merck)</t>
  </si>
  <si>
    <t>584-42-9</t>
  </si>
  <si>
    <t>Alkaliblau</t>
  </si>
  <si>
    <t>C.I. 42750 (Merck)</t>
  </si>
  <si>
    <t>30586-13-1</t>
  </si>
  <si>
    <t>22-24/25</t>
  </si>
  <si>
    <t>Aluminium­pulver</t>
  </si>
  <si>
    <t>7429-90-5</t>
  </si>
  <si>
    <t>F</t>
  </si>
  <si>
    <t>10-15</t>
  </si>
  <si>
    <t>7/8-43</t>
  </si>
  <si>
    <t>6 A</t>
  </si>
  <si>
    <t>80164-67-4</t>
  </si>
  <si>
    <t>Aluminiumbromid</t>
  </si>
  <si>
    <t>7727-15-3</t>
  </si>
  <si>
    <t>22-34</t>
  </si>
  <si>
    <t>7/8-26-36/37/39-45</t>
  </si>
  <si>
    <t xml:space="preserve">-  S 4. Klasse </t>
  </si>
  <si>
    <r>
      <t xml:space="preserve">Xi: 5% </t>
    </r>
    <r>
      <rPr>
        <u val="single"/>
        <sz val="10"/>
        <rFont val="Arial"/>
        <family val="2"/>
      </rPr>
      <t xml:space="preserve">&lt; </t>
    </r>
    <r>
      <rPr>
        <sz val="10"/>
        <rFont val="Arial"/>
        <family val="2"/>
      </rPr>
      <t>w &lt; 10%</t>
    </r>
  </si>
  <si>
    <t>Aluminiumcarbid</t>
  </si>
  <si>
    <t>1299-86-1</t>
  </si>
  <si>
    <t>11-15-36/37/38</t>
  </si>
  <si>
    <t>16-26-33-36/37/39</t>
  </si>
  <si>
    <t>Aluminiumchlorid</t>
  </si>
  <si>
    <t>7446-70-0</t>
  </si>
  <si>
    <t>7/8-28-45</t>
  </si>
  <si>
    <t>Aluminiumchlorid Hexahydrat</t>
  </si>
  <si>
    <t>7784-13-6</t>
  </si>
  <si>
    <t>Aluminiumhydroxid</t>
  </si>
  <si>
    <t>21645-51-2</t>
  </si>
  <si>
    <t>2 </t>
  </si>
  <si>
    <t>Aluminiumiodid</t>
  </si>
  <si>
    <t>7784-23-8</t>
  </si>
  <si>
    <t>26-36/37/39-45</t>
  </si>
  <si>
    <t>Aluminiumnitrat Nonahydrat</t>
  </si>
  <si>
    <t>7784-27-2</t>
  </si>
  <si>
    <t>O, Xi</t>
  </si>
  <si>
    <t>8-36/38</t>
  </si>
  <si>
    <t>Aluminiumoxid</t>
  </si>
  <si>
    <t>1344-28-1</t>
  </si>
  <si>
    <t>Aluminiumphosphid</t>
  </si>
  <si>
    <t>20859-73-8</t>
  </si>
  <si>
    <t>15/29-28-32-50</t>
  </si>
  <si>
    <t>3/9/14-30-36/37-45-61</t>
  </si>
  <si>
    <t>Aluminiumsulfat Hexadecahydrat</t>
  </si>
  <si>
    <t>Roth</t>
  </si>
  <si>
    <t>16828-11-8</t>
  </si>
  <si>
    <t>26-39</t>
  </si>
  <si>
    <t>Aluminiumsulfat Hydrat</t>
  </si>
  <si>
    <t>17927-65-0</t>
  </si>
  <si>
    <t>Xi </t>
  </si>
  <si>
    <t>41 </t>
  </si>
  <si>
    <t>Amaranth</t>
  </si>
  <si>
    <t xml:space="preserve">Azorubin S C.I. 16185 </t>
  </si>
  <si>
    <t>915-67-3</t>
  </si>
  <si>
    <t>36/37/39</t>
  </si>
  <si>
    <t>Ameisensäure</t>
  </si>
  <si>
    <t>konz., 98-100%ig</t>
  </si>
  <si>
    <t>64-18-6</t>
  </si>
  <si>
    <t>23-26-45</t>
  </si>
  <si>
    <r>
      <t xml:space="preserve">C, R 35: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90 %</t>
    </r>
  </si>
  <si>
    <r>
      <t xml:space="preserve">C, R 34: 10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90 %</t>
    </r>
  </si>
  <si>
    <r>
      <t xml:space="preserve">Xi R36/38: 2 %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10 %</t>
    </r>
  </si>
  <si>
    <t>Amidosulfonsäure</t>
  </si>
  <si>
    <t>Sulfaminsäure</t>
  </si>
  <si>
    <t>5329-14-6</t>
  </si>
  <si>
    <t>36/38-52/53</t>
  </si>
  <si>
    <t>26-28-61</t>
  </si>
  <si>
    <t>1-Aminopropan-2-ol</t>
  </si>
  <si>
    <t>78-96-6</t>
  </si>
  <si>
    <t>S: 23-26-36-45</t>
  </si>
  <si>
    <t>3-Aminopropan-1-ol</t>
  </si>
  <si>
    <t>156-87-6</t>
  </si>
  <si>
    <t>23-26-36/37/39-45</t>
  </si>
  <si>
    <t>4-Amino-N,N-dimethylanilin</t>
  </si>
  <si>
    <t>99-98-9</t>
  </si>
  <si>
    <t>28-45</t>
  </si>
  <si>
    <t>4-Aminoazobenzol</t>
  </si>
  <si>
    <t>60-09-3</t>
  </si>
  <si>
    <t>45-50/53</t>
  </si>
  <si>
    <t>K2 </t>
  </si>
  <si>
    <t>118-92-3</t>
  </si>
  <si>
    <t>150-13-0</t>
  </si>
  <si>
    <t>94-09-7</t>
  </si>
  <si>
    <t>24/25-37</t>
  </si>
  <si>
    <t> - S 4. Klasse</t>
  </si>
  <si>
    <t>121-57-3</t>
  </si>
  <si>
    <t>36/38-43</t>
  </si>
  <si>
    <t>24-37</t>
  </si>
  <si>
    <t>S </t>
  </si>
  <si>
    <t>1-Aminobutan</t>
  </si>
  <si>
    <t xml:space="preserve">Butylamin </t>
  </si>
  <si>
    <t>109-73-9</t>
  </si>
  <si>
    <t>11-20/21/22-35</t>
  </si>
  <si>
    <t>3-16-26-29-36/37/39-45</t>
  </si>
  <si>
    <r>
      <t xml:space="preserve">Xi: 1%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5%</t>
    </r>
  </si>
  <si>
    <t>2-Aminoethanol</t>
  </si>
  <si>
    <t>Ethanolamin</t>
  </si>
  <si>
    <t>141-43-5</t>
  </si>
  <si>
    <t>20/21/22-34</t>
  </si>
  <si>
    <r>
      <t xml:space="preserve">Xi: 5%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10 % </t>
    </r>
  </si>
  <si>
    <t>60-32-2</t>
  </si>
  <si>
    <t>2-Aminophenol</t>
  </si>
  <si>
    <t>95-55-6</t>
  </si>
  <si>
    <t>20/22-68</t>
  </si>
  <si>
    <t>28-36/37</t>
  </si>
  <si>
    <t>M 3 </t>
  </si>
  <si>
    <r>
      <t xml:space="preserve">Xn: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25%  </t>
    </r>
  </si>
  <si>
    <t>3-Aminophenol</t>
  </si>
  <si>
    <t>591-27-5</t>
  </si>
  <si>
    <t>Xn, N</t>
  </si>
  <si>
    <t>20/22-51/53</t>
  </si>
  <si>
    <t>28-61</t>
  </si>
  <si>
    <t>4-Aminophenol</t>
  </si>
  <si>
    <t>123-30-8</t>
  </si>
  <si>
    <t>20/22-68-50/53</t>
  </si>
  <si>
    <t>28-36/37-60-61</t>
  </si>
  <si>
    <t xml:space="preserve">M 3 </t>
  </si>
  <si>
    <r>
      <t xml:space="preserve">Xn: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25% </t>
    </r>
  </si>
  <si>
    <t>Ammoniak</t>
  </si>
  <si>
    <t>wasserfrei</t>
  </si>
  <si>
    <t>7664-41-7</t>
  </si>
  <si>
    <t>10-23-34-50</t>
  </si>
  <si>
    <t>9-16-26-36/37/39-45-61</t>
  </si>
  <si>
    <t>D dbS</t>
  </si>
  <si>
    <t>Ammoniak-Lösung</t>
  </si>
  <si>
    <t>1336-21-6</t>
  </si>
  <si>
    <t>34-50</t>
  </si>
  <si>
    <t xml:space="preserve">- S 4.  Klasse </t>
  </si>
  <si>
    <r>
      <t xml:space="preserve">C, R 34-50: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25 %;</t>
    </r>
  </si>
  <si>
    <r>
      <t xml:space="preserve">C, R 34: 10 %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25 %; Xi, R 36/37/38: 5 %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 w &lt; 10 %</t>
    </r>
  </si>
  <si>
    <t>7783-28-0</t>
  </si>
  <si>
    <t>Ammoniumacetat</t>
  </si>
  <si>
    <t>631-61-8</t>
  </si>
  <si>
    <t xml:space="preserve">Ammoniumeisen­(III)-sulfat </t>
  </si>
  <si>
    <t>7783-83-7</t>
  </si>
  <si>
    <t>26-36/37</t>
  </si>
  <si>
    <t>Ammoniumfluorid</t>
  </si>
  <si>
    <t>12125-01-8</t>
  </si>
  <si>
    <t>26-45</t>
  </si>
  <si>
    <t>1 E</t>
  </si>
  <si>
    <t> 4</t>
  </si>
  <si>
    <r>
      <t xml:space="preserve">Xn: 3%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25%</t>
    </r>
  </si>
  <si>
    <t>Ammoniumformiat</t>
  </si>
  <si>
    <t>540-69-2</t>
  </si>
  <si>
    <t>Hydrat</t>
  </si>
  <si>
    <t>Ammoniumferrocyanid (FLUKA)</t>
  </si>
  <si>
    <t>14481-29-9</t>
  </si>
  <si>
    <t>20/21/22</t>
  </si>
  <si>
    <t>1066-33-7</t>
  </si>
  <si>
    <r>
      <t xml:space="preserve">Xn: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25 %</t>
    </r>
  </si>
  <si>
    <t>Ammoniumiodid</t>
  </si>
  <si>
    <t>12027-06-4</t>
  </si>
  <si>
    <t xml:space="preserve">Ammoniummolybdat </t>
  </si>
  <si>
    <t>Tetrahydrat</t>
  </si>
  <si>
    <t>12054-85-2</t>
  </si>
  <si>
    <t>Ammoniummonovanadat</t>
  </si>
  <si>
    <t>Sigma-Aldrich-Gruppe</t>
  </si>
  <si>
    <t>7803-55-6</t>
  </si>
  <si>
    <t>T+</t>
  </si>
  <si>
    <t>25-26-36/37/38</t>
  </si>
  <si>
    <r>
      <t xml:space="preserve">Xn: 0,1 %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1 %</t>
    </r>
  </si>
  <si>
    <t xml:space="preserve">Ammoniumnickelsulfat </t>
  </si>
  <si>
    <t>7785-20-8</t>
  </si>
  <si>
    <t>45-22-42/43</t>
  </si>
  <si>
    <t>53-22-36/37-45</t>
  </si>
  <si>
    <t>K1, S</t>
  </si>
  <si>
    <t>Ammoniumnitrat</t>
  </si>
  <si>
    <t>6484-52-2</t>
  </si>
  <si>
    <t>O</t>
  </si>
  <si>
    <t>8-9</t>
  </si>
  <si>
    <t>15-16-41</t>
  </si>
  <si>
    <t>Ammoniumoxalat Monohydrat</t>
  </si>
  <si>
    <t>6009-70-7</t>
  </si>
  <si>
    <t>21/22</t>
  </si>
  <si>
    <t>24/25</t>
  </si>
  <si>
    <t>Ammoniumoxalat Dihydrat</t>
  </si>
  <si>
    <t>Ammoniumperchlorat</t>
  </si>
  <si>
    <t>7790-98-9</t>
  </si>
  <si>
    <t>9-44</t>
  </si>
  <si>
    <t>14.10-16-27-36/37</t>
  </si>
  <si>
    <t>Ammoniumperoxodisulfat</t>
  </si>
  <si>
    <t>Ammoniumpersulfat</t>
  </si>
  <si>
    <t>7727-54-0</t>
  </si>
  <si>
    <t>8-22-36/37/38-42/43</t>
  </si>
  <si>
    <t>22-24-26-37</t>
  </si>
  <si>
    <t>Ammoniumsulfat</t>
  </si>
  <si>
    <t>7783-20-2</t>
  </si>
  <si>
    <t>Ammoniumsulfidlösung</t>
  </si>
  <si>
    <t>12135-76-1</t>
  </si>
  <si>
    <t>11-31-34</t>
  </si>
  <si>
    <t>16-23-26-36/37/39-45</t>
  </si>
  <si>
    <r>
      <t xml:space="preserve">Xi: 5 %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10 %</t>
    </r>
  </si>
  <si>
    <t>Ammoniumsulfid</t>
  </si>
  <si>
    <t>10-31-34</t>
  </si>
  <si>
    <r>
      <t xml:space="preserve">Xi: 5 %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10 % </t>
    </r>
  </si>
  <si>
    <t>Ammoniumtartrat</t>
  </si>
  <si>
    <t>3164-29-2</t>
  </si>
  <si>
    <t>Ammoniumthiocyanat</t>
  </si>
  <si>
    <t>1762-95-4</t>
  </si>
  <si>
    <t>20/21/22-32</t>
  </si>
  <si>
    <t>Ammoniumthiosulfat</t>
  </si>
  <si>
    <t>7783-18-8</t>
  </si>
  <si>
    <t>Amygdalin</t>
  </si>
  <si>
    <t>29883-15-6</t>
  </si>
  <si>
    <t>Amylase</t>
  </si>
  <si>
    <t>9000-90-2</t>
  </si>
  <si>
    <t>22-24-36/37</t>
  </si>
  <si>
    <t>Anilin</t>
  </si>
  <si>
    <t>Phenylamin</t>
  </si>
  <si>
    <t>62-53-3</t>
  </si>
  <si>
    <t>23/24/25-40-41-43-48/23/24/25-50-68</t>
  </si>
  <si>
    <t>26-27-36/37/39-45-46-61-63</t>
  </si>
  <si>
    <t>K3, M3, H, S</t>
  </si>
  <si>
    <t>Anilinblau wasserlöslich</t>
  </si>
  <si>
    <t>66687-07-8</t>
  </si>
  <si>
    <t>Anilinhydrochlorid</t>
  </si>
  <si>
    <t>142-04-1</t>
  </si>
  <si>
    <t>Anilinphthalat-Sprühlösung</t>
  </si>
  <si>
    <t>50930-79-5</t>
  </si>
  <si>
    <t>F, T</t>
  </si>
  <si>
    <t>23/24/25-39/23/24/25-40-48/23/24/25</t>
  </si>
  <si>
    <t>36/37-45</t>
  </si>
  <si>
    <t>K3, H</t>
  </si>
  <si>
    <t>Anilinsulfat</t>
  </si>
  <si>
    <t>542-16-5</t>
  </si>
  <si>
    <t>26-27-36/37/39-45-61-63</t>
  </si>
  <si>
    <t>K3, M3</t>
  </si>
  <si>
    <t>Anisol</t>
  </si>
  <si>
    <t>100-66-3</t>
  </si>
  <si>
    <t>16-24</t>
  </si>
  <si>
    <t>Anthracen</t>
  </si>
  <si>
    <t>120-12-7</t>
  </si>
  <si>
    <t>36/37/38-42/43</t>
  </si>
  <si>
    <t>Anthrachinon</t>
  </si>
  <si>
    <t>Bayer CropScience</t>
  </si>
  <si>
    <t>84-65-1</t>
  </si>
  <si>
    <t>Anthrachinon-2-sulfonsäure</t>
  </si>
  <si>
    <t>Natriumsalz</t>
  </si>
  <si>
    <t xml:space="preserve">Merck </t>
  </si>
  <si>
    <t>131-08-8</t>
  </si>
  <si>
    <t>Anthron</t>
  </si>
  <si>
    <t>90-44-8</t>
  </si>
  <si>
    <t>Antimon Pulver</t>
  </si>
  <si>
    <t>7440-36-0</t>
  </si>
  <si>
    <t>Antimon(III)-chlorid</t>
  </si>
  <si>
    <t>10025-91-9</t>
  </si>
  <si>
    <t>34-51/53</t>
  </si>
  <si>
    <t>26-45-61</t>
  </si>
  <si>
    <t>Antimon(III)-oxid</t>
  </si>
  <si>
    <t>1309-64-4</t>
  </si>
  <si>
    <t>22-36/37</t>
  </si>
  <si>
    <t>Antimon(V)-chlorid</t>
  </si>
  <si>
    <t>Antimonpentachlorid</t>
  </si>
  <si>
    <t>7647-18-9</t>
  </si>
  <si>
    <r>
      <t xml:space="preserve">Xi: 5%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10 %</t>
    </r>
  </si>
  <si>
    <t>Antimon(III)-sulfid</t>
  </si>
  <si>
    <t>1345-04-6</t>
  </si>
  <si>
    <t>Antimon(V)-sulfid</t>
  </si>
  <si>
    <t>1315-04-4</t>
  </si>
  <si>
    <t>D(-)-Arabinose</t>
  </si>
  <si>
    <t>10323-20-3</t>
  </si>
  <si>
    <t>L-Arginin</t>
  </si>
  <si>
    <t>74-79-3</t>
  </si>
  <si>
    <t>Arsen</t>
  </si>
  <si>
    <t>7440-38-2</t>
  </si>
  <si>
    <t>23/25-50/51</t>
  </si>
  <si>
    <t>20/21-28-45-60-61</t>
  </si>
  <si>
    <t>Arsen(III)-oxid</t>
  </si>
  <si>
    <t>Arsenik</t>
  </si>
  <si>
    <t>1327-53-3</t>
  </si>
  <si>
    <t>T+, C, N</t>
  </si>
  <si>
    <t>45-28-34-50/53</t>
  </si>
  <si>
    <t>Arsensäure</t>
  </si>
  <si>
    <t>7778-39-4</t>
  </si>
  <si>
    <t>45-23/25-50/53</t>
  </si>
  <si>
    <t>Arsenwasserstoff</t>
  </si>
  <si>
    <t>Arsin</t>
  </si>
  <si>
    <t>7784-42-1</t>
  </si>
  <si>
    <t>F+, T+, N</t>
  </si>
  <si>
    <t>12-26-48/20-50/53</t>
  </si>
  <si>
    <t>9-16-28-33-36/37-45-60-61</t>
  </si>
  <si>
    <r>
      <t xml:space="preserve">T: 1% </t>
    </r>
    <r>
      <rPr>
        <u val="single"/>
        <sz val="10"/>
        <rFont val="Arial"/>
        <family val="2"/>
      </rPr>
      <t>&lt;</t>
    </r>
    <r>
      <rPr>
        <sz val="10"/>
        <rFont val="Arial"/>
        <family val="2"/>
      </rPr>
      <t xml:space="preserve"> w &lt; 10 %</t>
    </r>
  </si>
  <si>
    <t>Asbest</t>
  </si>
  <si>
    <t>Aktinolith, Amosit, u.a.</t>
  </si>
  <si>
    <t>1332-21-4</t>
  </si>
  <si>
    <t>45-48/23</t>
  </si>
  <si>
    <t>F/m³</t>
  </si>
  <si>
    <t>Ascorbinsäure</t>
  </si>
  <si>
    <t>BASF</t>
  </si>
  <si>
    <t>50-81-7</t>
  </si>
  <si>
    <t>(S)-(+)-Asparagin Monohydrat</t>
  </si>
  <si>
    <t>5794-13-8</t>
  </si>
  <si>
    <t>Atropin</t>
  </si>
  <si>
    <t>51-55-8</t>
  </si>
  <si>
    <t>R: 26/28</t>
  </si>
  <si>
    <t>S: 25-45</t>
  </si>
  <si>
    <r>
      <t xml:space="preserve">Xn: 0,1% </t>
    </r>
    <r>
      <rPr>
        <u val="single"/>
        <sz val="10"/>
        <rFont val="Arial"/>
        <family val="2"/>
      </rPr>
      <t xml:space="preserve">&lt; </t>
    </r>
    <r>
      <rPr>
        <sz val="10"/>
        <rFont val="Arial"/>
        <family val="2"/>
      </rPr>
      <t>w &lt; 1%</t>
    </r>
  </si>
  <si>
    <t>Atropinsulfat</t>
  </si>
  <si>
    <t>55-48-1</t>
  </si>
  <si>
    <t>Auramin</t>
  </si>
  <si>
    <t>492-80-8</t>
  </si>
  <si>
    <t>22-36-40-51/53</t>
  </si>
  <si>
    <t>36/37-61</t>
  </si>
  <si>
    <t>K2, M3, H</t>
  </si>
  <si>
    <t>Auraminhydrochlorid</t>
  </si>
  <si>
    <t>2465-27-2</t>
  </si>
  <si>
    <t>Azobenzol</t>
  </si>
  <si>
    <t>103-33-3</t>
  </si>
  <si>
    <t>45-20/22-48/22-50/53-68</t>
  </si>
  <si>
    <t>K2, M3 </t>
  </si>
  <si>
    <t>Azoisobuttersäuredinitril</t>
  </si>
  <si>
    <t>78-67-1</t>
  </si>
  <si>
    <t>E, Xn</t>
  </si>
  <si>
    <t>2-11-20/22-52/53</t>
  </si>
  <si>
    <t>39-41-47-61</t>
  </si>
  <si>
    <t>Azur-Eosin-Methylenblau-Lösung</t>
  </si>
  <si>
    <t>Giemsa-Lösung (Merck)</t>
  </si>
  <si>
    <t>Barium</t>
  </si>
  <si>
    <t>7440-39-3</t>
  </si>
  <si>
    <t>11-14/15-36/37/38</t>
  </si>
  <si>
    <t>10034-82-9</t>
  </si>
  <si>
    <t>45-46-60-61-21-25-26-34-42/43-48/23-50/53</t>
  </si>
  <si>
    <t>S: 53-45-60-61</t>
  </si>
  <si>
    <r>
      <t>K2, M2, R</t>
    </r>
    <r>
      <rPr>
        <vertAlign val="subscript"/>
        <sz val="10"/>
        <rFont val="Arial"/>
        <family val="2"/>
      </rPr>
      <t>E</t>
    </r>
    <r>
      <rPr>
        <sz val="10"/>
        <rFont val="Arial"/>
        <family val="2"/>
      </rPr>
      <t>2, R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2, S, H</t>
    </r>
  </si>
  <si>
    <t>tri-Natriumcitrat Dihydrat</t>
  </si>
  <si>
    <t>6132-04-3</t>
  </si>
  <si>
    <t>Natriumcyanat</t>
  </si>
  <si>
    <t>917-61-3</t>
  </si>
  <si>
    <t>Natriumcyanid</t>
  </si>
  <si>
    <t>143-33-9</t>
  </si>
  <si>
    <t>T+,N</t>
  </si>
  <si>
    <t>H </t>
  </si>
  <si>
    <t>17194-00-2</t>
  </si>
  <si>
    <t>20/22-34</t>
  </si>
  <si>
    <t>0,5 E</t>
  </si>
  <si>
    <t>Bariumnitrat</t>
  </si>
  <si>
    <t>10022-31-8</t>
  </si>
  <si>
    <t>8-20/22</t>
  </si>
  <si>
    <t>17-28</t>
  </si>
  <si>
    <r>
      <t xml:space="preserve">Xn: w </t>
    </r>
    <r>
      <rPr>
        <u val="single"/>
        <sz val="10"/>
        <rFont val="Arial"/>
        <family val="2"/>
      </rPr>
      <t>&gt;</t>
    </r>
    <r>
      <rPr>
        <sz val="10"/>
        <rFont val="Arial"/>
        <family val="2"/>
      </rPr>
      <t xml:space="preserve"> 1 %</t>
    </r>
  </si>
  <si>
    <t>Bariumoxid</t>
  </si>
  <si>
    <t>1304-28-5</t>
  </si>
  <si>
    <t>Bariumperchlorat</t>
  </si>
  <si>
    <t>13465-95-7</t>
  </si>
  <si>
    <t>Bariumperoxid</t>
  </si>
  <si>
    <t>1304-29-6</t>
  </si>
  <si>
    <t>13-17</t>
  </si>
  <si>
    <t>Bariumsulfat</t>
  </si>
  <si>
    <t>7727-43-7</t>
  </si>
  <si>
    <t>3 A</t>
  </si>
  <si>
    <t>Benedicts-Reagenz</t>
  </si>
  <si>
    <t>enthält Kupfersulfat (FLUKA)</t>
  </si>
  <si>
    <t>Bentonit</t>
  </si>
  <si>
    <t>1302-78-9</t>
  </si>
  <si>
    <t>Benzaldehyd</t>
  </si>
  <si>
    <t>100-52-7</t>
  </si>
  <si>
    <t>bF </t>
  </si>
  <si>
    <t>Benzamid</t>
  </si>
  <si>
    <t>55-21-0</t>
  </si>
  <si>
    <t>22-68</t>
  </si>
  <si>
    <t>Benzidin</t>
  </si>
  <si>
    <t>92-87-5</t>
  </si>
  <si>
    <t>45-22-50/53</t>
  </si>
  <si>
    <t>K1, H</t>
  </si>
  <si>
    <t>Benzil</t>
  </si>
  <si>
    <t>Acros Organics</t>
  </si>
  <si>
    <t>134-81-6</t>
  </si>
  <si>
    <t>26-27/39</t>
  </si>
  <si>
    <t>Benzin, schwer</t>
  </si>
  <si>
    <t>Sdb.: 100 - 140 °C</t>
  </si>
  <si>
    <t>64742-49-0</t>
  </si>
  <si>
    <t xml:space="preserve">F, Xn, N </t>
  </si>
  <si>
    <t>11-38-51/53-65-67</t>
  </si>
  <si>
    <t>9-16-23.2-24-33-61-62</t>
  </si>
  <si>
    <t>Benzin</t>
  </si>
  <si>
    <t>Sdb.: 40 - 80 °C</t>
  </si>
  <si>
    <t>11-38-48/20-51/53-62-65-67</t>
  </si>
  <si>
    <t>16-23-29-33-36/37-61-62</t>
  </si>
  <si>
    <t>Sdb.: 70 - 90 °C</t>
  </si>
  <si>
    <t>92062-15-2</t>
  </si>
  <si>
    <t xml:space="preserve">F, Xn, N, </t>
  </si>
  <si>
    <t>11-51/53-65-66-67</t>
  </si>
  <si>
    <t>9-16-23-24-33-61-62</t>
  </si>
  <si>
    <t>Benzin-Ottokraftstoff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</si>
</sst>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00000"/>
  </numFmts>
  <fonts count="46">
    <font>
      <sz val="12"/>
      <name val="Arial"/>
      <family val="0"/>
    </font>
    <font>
      <sz val="10"/>
      <name val="Symbol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sz val="8"/>
      <name val="Symbol"/>
      <family val="1"/>
    </font>
    <font>
      <vertAlign val="superscript"/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6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 wrapText="1"/>
    </xf>
    <xf numFmtId="0" fontId="2" fillId="0" borderId="12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3" fillId="0" borderId="12" xfId="0" applyFont="1" applyBorder="1" applyAlignment="1">
      <alignment vertical="top" wrapText="1"/>
    </xf>
    <xf numFmtId="0" fontId="4" fillId="0" borderId="12" xfId="0" applyFont="1" applyBorder="1" applyAlignment="1">
      <alignment wrapText="1"/>
    </xf>
    <xf numFmtId="0" fontId="1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2" fillId="0" borderId="14" xfId="0" applyFont="1" applyBorder="1" applyAlignment="1">
      <alignment wrapText="1"/>
    </xf>
    <xf numFmtId="0" fontId="3" fillId="0" borderId="15" xfId="0" applyFont="1" applyBorder="1" applyAlignment="1">
      <alignment vertical="top" wrapText="1"/>
    </xf>
    <xf numFmtId="0" fontId="2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1" fillId="0" borderId="16" xfId="0" applyFont="1" applyBorder="1" applyAlignment="1">
      <alignment vertical="top" wrapText="1"/>
    </xf>
    <xf numFmtId="0" fontId="10" fillId="0" borderId="12" xfId="47" applyBorder="1" applyAlignment="1" applyProtection="1">
      <alignment wrapText="1"/>
      <protection/>
    </xf>
    <xf numFmtId="0" fontId="6" fillId="0" borderId="11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 wrapText="1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10" fillId="0" borderId="17" xfId="47" applyBorder="1" applyAlignment="1" applyProtection="1">
      <alignment wrapText="1"/>
      <protection/>
    </xf>
    <xf numFmtId="0" fontId="10" fillId="0" borderId="11" xfId="47" applyBorder="1" applyAlignment="1" applyProtection="1">
      <alignment wrapText="1"/>
      <protection/>
    </xf>
    <xf numFmtId="0" fontId="2" fillId="0" borderId="12" xfId="0" applyFont="1" applyBorder="1" applyAlignment="1">
      <alignment horizontal="left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4" fillId="0" borderId="15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4" fillId="0" borderId="13" xfId="0" applyFont="1" applyBorder="1" applyAlignment="1">
      <alignment wrapText="1"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2" fillId="0" borderId="15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0</xdr:row>
      <xdr:rowOff>0</xdr:rowOff>
    </xdr:from>
    <xdr:to>
      <xdr:col>6</xdr:col>
      <xdr:colOff>161925</xdr:colOff>
      <xdr:row>0</xdr:row>
      <xdr:rowOff>0</xdr:rowOff>
    </xdr:to>
    <xdr:pic>
      <xdr:nvPicPr>
        <xdr:cNvPr id="1" name="Picture 1" descr="Logo-DGUV-RGB-2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51"/>
  <sheetViews>
    <sheetView tabSelected="1" zoomScalePageLayoutView="0" workbookViewId="0" topLeftCell="A1">
      <selection activeCell="J945" sqref="J945:J946"/>
    </sheetView>
  </sheetViews>
  <sheetFormatPr defaultColWidth="11.5546875" defaultRowHeight="15"/>
  <cols>
    <col min="1" max="1" width="22.77734375" style="0" customWidth="1"/>
    <col min="2" max="2" width="19.10546875" style="0" customWidth="1"/>
    <col min="3" max="3" width="8.10546875" style="0" customWidth="1"/>
    <col min="4" max="4" width="8.3359375" style="0" bestFit="1" customWidth="1"/>
    <col min="5" max="5" width="27.10546875" style="0" customWidth="1"/>
    <col min="6" max="6" width="20.4453125" style="0" customWidth="1"/>
    <col min="7" max="7" width="12.10546875" style="0" customWidth="1"/>
    <col min="8" max="8" width="13.5546875" style="0" customWidth="1"/>
    <col min="9" max="9" width="9.99609375" style="0" customWidth="1"/>
    <col min="11" max="11" width="11.10546875" style="0" customWidth="1"/>
    <col min="12" max="12" width="9.10546875" style="0" customWidth="1"/>
    <col min="13" max="13" width="14.6640625" style="0" bestFit="1" customWidth="1"/>
    <col min="14" max="14" width="47.4453125" style="0" bestFit="1" customWidth="1"/>
    <col min="15" max="15" width="6.4453125" style="0" bestFit="1" customWidth="1"/>
    <col min="16" max="16" width="6.99609375" style="0" bestFit="1" customWidth="1"/>
  </cols>
  <sheetData>
    <row r="1" spans="1:16" ht="25.5">
      <c r="A1" s="60" t="s">
        <v>2106</v>
      </c>
      <c r="B1" s="1" t="s">
        <v>2107</v>
      </c>
      <c r="C1" s="60" t="s">
        <v>2109</v>
      </c>
      <c r="D1" s="60" t="s">
        <v>2110</v>
      </c>
      <c r="E1" s="60" t="s">
        <v>2111</v>
      </c>
      <c r="F1" s="60" t="s">
        <v>2112</v>
      </c>
      <c r="G1" s="1" t="s">
        <v>1202</v>
      </c>
      <c r="H1" s="60" t="s">
        <v>1203</v>
      </c>
      <c r="I1" s="1" t="s">
        <v>1204</v>
      </c>
      <c r="J1" s="60" t="s">
        <v>1205</v>
      </c>
      <c r="K1" s="60" t="s">
        <v>2116</v>
      </c>
      <c r="L1" s="60" t="s">
        <v>1206</v>
      </c>
      <c r="M1" s="60" t="s">
        <v>1207</v>
      </c>
      <c r="N1" s="1" t="s">
        <v>2117</v>
      </c>
      <c r="O1" s="63" t="s">
        <v>2119</v>
      </c>
      <c r="P1" s="60" t="s">
        <v>3083</v>
      </c>
    </row>
    <row r="2" spans="1:16" ht="15">
      <c r="A2" s="61"/>
      <c r="B2" s="2" t="s">
        <v>2108</v>
      </c>
      <c r="C2" s="61"/>
      <c r="D2" s="61"/>
      <c r="E2" s="61"/>
      <c r="F2" s="61"/>
      <c r="G2" s="2" t="s">
        <v>2113</v>
      </c>
      <c r="H2" s="61"/>
      <c r="I2" s="2" t="s">
        <v>2114</v>
      </c>
      <c r="J2" s="61"/>
      <c r="K2" s="61"/>
      <c r="L2" s="61"/>
      <c r="M2" s="61"/>
      <c r="N2" s="2" t="s">
        <v>2118</v>
      </c>
      <c r="O2" s="64"/>
      <c r="P2" s="61"/>
    </row>
    <row r="3" spans="1:16" ht="15.75" thickBot="1">
      <c r="A3" s="62"/>
      <c r="B3" s="3"/>
      <c r="C3" s="62"/>
      <c r="D3" s="62"/>
      <c r="E3" s="62"/>
      <c r="F3" s="62"/>
      <c r="G3" s="3"/>
      <c r="H3" s="62"/>
      <c r="I3" s="4" t="s">
        <v>2115</v>
      </c>
      <c r="J3" s="62"/>
      <c r="K3" s="62"/>
      <c r="L3" s="62"/>
      <c r="M3" s="62"/>
      <c r="N3" s="3"/>
      <c r="O3" s="65"/>
      <c r="P3" s="62"/>
    </row>
    <row r="4" spans="1:16" ht="15.75" thickBot="1">
      <c r="A4" s="14" t="s">
        <v>2228</v>
      </c>
      <c r="B4" s="4" t="s">
        <v>2229</v>
      </c>
      <c r="C4" s="4" t="s">
        <v>2230</v>
      </c>
      <c r="D4" s="4" t="s">
        <v>2222</v>
      </c>
      <c r="E4" s="37" t="s">
        <v>2223</v>
      </c>
      <c r="F4" s="37" t="s">
        <v>2231</v>
      </c>
      <c r="G4" s="37" t="s">
        <v>2232</v>
      </c>
      <c r="H4" s="37" t="s">
        <v>2233</v>
      </c>
      <c r="I4" s="37" t="s">
        <v>2234</v>
      </c>
      <c r="J4" s="37" t="s">
        <v>2235</v>
      </c>
      <c r="K4" s="37" t="s">
        <v>2236</v>
      </c>
      <c r="L4" s="37" t="s">
        <v>2237</v>
      </c>
      <c r="M4" s="37" t="s">
        <v>2238</v>
      </c>
      <c r="N4" s="37" t="s">
        <v>2224</v>
      </c>
      <c r="O4" s="16" t="s">
        <v>2239</v>
      </c>
      <c r="P4" s="4"/>
    </row>
    <row r="5" spans="1:16" ht="15.75" thickBot="1">
      <c r="A5" s="6" t="s">
        <v>2240</v>
      </c>
      <c r="B5" s="10" t="s">
        <v>2121</v>
      </c>
      <c r="C5" s="11" t="s">
        <v>2241</v>
      </c>
      <c r="D5" s="10" t="s">
        <v>2187</v>
      </c>
      <c r="E5" s="38" t="s">
        <v>2242</v>
      </c>
      <c r="F5" s="38" t="s">
        <v>2243</v>
      </c>
      <c r="G5" s="38"/>
      <c r="H5" s="38" t="s">
        <v>2123</v>
      </c>
      <c r="I5" s="38" t="s">
        <v>2124</v>
      </c>
      <c r="J5" s="38"/>
      <c r="K5" s="38"/>
      <c r="L5" s="38" t="s">
        <v>2165</v>
      </c>
      <c r="M5" s="38">
        <v>2</v>
      </c>
      <c r="N5" s="38"/>
      <c r="O5" s="10"/>
      <c r="P5" s="25" t="str">
        <f>HYPERLINK("http://biade.itrust.de/biade/lpext.dll?f=id&amp;id=biadb%3Ar%3A023000&amp;t=main-h.htm","23000")</f>
        <v>23000</v>
      </c>
    </row>
    <row r="6" spans="1:16" ht="15">
      <c r="A6" s="49" t="s">
        <v>2244</v>
      </c>
      <c r="B6" s="7" t="s">
        <v>2245</v>
      </c>
      <c r="C6" s="51"/>
      <c r="D6" s="49"/>
      <c r="E6" s="47"/>
      <c r="F6" s="47"/>
      <c r="G6" s="47"/>
      <c r="H6" s="47"/>
      <c r="I6" s="47"/>
      <c r="J6" s="47"/>
      <c r="K6" s="47"/>
      <c r="L6" s="47"/>
      <c r="M6" s="47"/>
      <c r="N6" s="47"/>
      <c r="O6" s="49"/>
      <c r="P6" s="51"/>
    </row>
    <row r="7" spans="1:16" ht="15.75" thickBot="1">
      <c r="A7" s="50"/>
      <c r="B7" s="10" t="s">
        <v>3216</v>
      </c>
      <c r="C7" s="52"/>
      <c r="D7" s="50"/>
      <c r="E7" s="48"/>
      <c r="F7" s="48"/>
      <c r="G7" s="48"/>
      <c r="H7" s="48"/>
      <c r="I7" s="48"/>
      <c r="J7" s="48"/>
      <c r="K7" s="48"/>
      <c r="L7" s="48"/>
      <c r="M7" s="48"/>
      <c r="N7" s="48"/>
      <c r="O7" s="50"/>
      <c r="P7" s="52"/>
    </row>
    <row r="8" spans="1:16" ht="15.75" thickBot="1">
      <c r="A8" s="6" t="s">
        <v>3217</v>
      </c>
      <c r="B8" s="10" t="s">
        <v>1201</v>
      </c>
      <c r="C8" s="11" t="s">
        <v>3218</v>
      </c>
      <c r="D8" s="10" t="s">
        <v>2128</v>
      </c>
      <c r="E8" s="38">
        <v>40</v>
      </c>
      <c r="F8" s="38" t="s">
        <v>3219</v>
      </c>
      <c r="G8" s="38" t="s">
        <v>2181</v>
      </c>
      <c r="H8" s="38" t="s">
        <v>3220</v>
      </c>
      <c r="I8" s="38" t="s">
        <v>2124</v>
      </c>
      <c r="J8" s="38"/>
      <c r="K8" s="38" t="s">
        <v>2188</v>
      </c>
      <c r="L8" s="38" t="s">
        <v>2165</v>
      </c>
      <c r="M8" s="38">
        <v>1</v>
      </c>
      <c r="N8" s="38" t="s">
        <v>4191</v>
      </c>
      <c r="O8" s="10"/>
      <c r="P8" s="25" t="str">
        <f>HYPERLINK("http://biade.itrust.de/biade/lpext.dll?f=id&amp;id=biadb%3Ar%3A070330&amp;t=main-h.htm","70330")</f>
        <v>70330</v>
      </c>
    </row>
    <row r="9" spans="1:16" ht="15.75" thickBot="1">
      <c r="A9" s="6" t="s">
        <v>3221</v>
      </c>
      <c r="B9" s="10" t="s">
        <v>2121</v>
      </c>
      <c r="C9" s="11" t="s">
        <v>3766</v>
      </c>
      <c r="D9" s="10" t="s">
        <v>2128</v>
      </c>
      <c r="E9" s="38">
        <v>22</v>
      </c>
      <c r="F9" s="38"/>
      <c r="G9" s="38"/>
      <c r="H9" s="38" t="s">
        <v>2164</v>
      </c>
      <c r="I9" s="38" t="s">
        <v>2124</v>
      </c>
      <c r="J9" s="38"/>
      <c r="K9" s="38"/>
      <c r="L9" s="38" t="s">
        <v>2165</v>
      </c>
      <c r="M9" s="38">
        <v>1</v>
      </c>
      <c r="N9" s="38" t="s">
        <v>2144</v>
      </c>
      <c r="O9" s="10"/>
      <c r="P9" s="25" t="str">
        <f>HYPERLINK("http://biade.itrust.de/biade/lpext.dll?f=id&amp;id=biadb%3Ar%3A022000&amp;t=main-h.htm","22000")</f>
        <v>22000</v>
      </c>
    </row>
    <row r="10" spans="1:16" ht="15">
      <c r="A10" s="49" t="s">
        <v>3768</v>
      </c>
      <c r="B10" s="49" t="s">
        <v>3769</v>
      </c>
      <c r="C10" s="51" t="s">
        <v>3770</v>
      </c>
      <c r="D10" s="49" t="s">
        <v>3771</v>
      </c>
      <c r="E10" s="47" t="s">
        <v>3772</v>
      </c>
      <c r="F10" s="47" t="s">
        <v>3773</v>
      </c>
      <c r="G10" s="47"/>
      <c r="H10" s="47" t="s">
        <v>2164</v>
      </c>
      <c r="I10" s="39">
        <v>1200</v>
      </c>
      <c r="J10" s="47">
        <v>2</v>
      </c>
      <c r="K10" s="39" t="s">
        <v>3774</v>
      </c>
      <c r="L10" s="47" t="s">
        <v>2130</v>
      </c>
      <c r="M10" s="47">
        <v>1</v>
      </c>
      <c r="N10" s="47"/>
      <c r="O10" s="49"/>
      <c r="P10" s="51"/>
    </row>
    <row r="11" spans="1:16" ht="15.75" thickBot="1">
      <c r="A11" s="50"/>
      <c r="B11" s="50"/>
      <c r="C11" s="52"/>
      <c r="D11" s="50"/>
      <c r="E11" s="48"/>
      <c r="F11" s="48"/>
      <c r="G11" s="48"/>
      <c r="H11" s="48"/>
      <c r="I11" s="38">
        <v>500</v>
      </c>
      <c r="J11" s="48"/>
      <c r="K11" s="38" t="s">
        <v>3775</v>
      </c>
      <c r="L11" s="48"/>
      <c r="M11" s="48"/>
      <c r="N11" s="48"/>
      <c r="O11" s="50"/>
      <c r="P11" s="52"/>
    </row>
    <row r="12" spans="1:16" ht="15">
      <c r="A12" s="49" t="s">
        <v>3776</v>
      </c>
      <c r="B12" s="49" t="s">
        <v>1200</v>
      </c>
      <c r="C12" s="51" t="s">
        <v>3777</v>
      </c>
      <c r="D12" s="49" t="s">
        <v>3778</v>
      </c>
      <c r="E12" s="47" t="s">
        <v>3779</v>
      </c>
      <c r="F12" s="47" t="s">
        <v>3780</v>
      </c>
      <c r="G12" s="47" t="s">
        <v>2183</v>
      </c>
      <c r="H12" s="47" t="s">
        <v>2164</v>
      </c>
      <c r="I12" s="39">
        <v>34</v>
      </c>
      <c r="J12" s="47">
        <v>2</v>
      </c>
      <c r="K12" s="39" t="s">
        <v>3774</v>
      </c>
      <c r="L12" s="47" t="s">
        <v>2214</v>
      </c>
      <c r="M12" s="47">
        <v>2</v>
      </c>
      <c r="N12" s="47"/>
      <c r="O12" s="49"/>
      <c r="P12" s="51"/>
    </row>
    <row r="13" spans="1:16" ht="15">
      <c r="A13" s="56"/>
      <c r="B13" s="56"/>
      <c r="C13" s="57"/>
      <c r="D13" s="56"/>
      <c r="E13" s="55"/>
      <c r="F13" s="55"/>
      <c r="G13" s="55"/>
      <c r="H13" s="55"/>
      <c r="I13" s="39">
        <v>20</v>
      </c>
      <c r="J13" s="55"/>
      <c r="K13" s="39" t="s">
        <v>3781</v>
      </c>
      <c r="L13" s="55"/>
      <c r="M13" s="55"/>
      <c r="N13" s="55"/>
      <c r="O13" s="56"/>
      <c r="P13" s="57"/>
    </row>
    <row r="14" spans="1:16" ht="15.75" thickBot="1">
      <c r="A14" s="50"/>
      <c r="B14" s="50"/>
      <c r="C14" s="52"/>
      <c r="D14" s="50"/>
      <c r="E14" s="48"/>
      <c r="F14" s="48"/>
      <c r="G14" s="48"/>
      <c r="H14" s="48"/>
      <c r="I14" s="40"/>
      <c r="J14" s="48"/>
      <c r="K14" s="38" t="s">
        <v>2191</v>
      </c>
      <c r="L14" s="48"/>
      <c r="M14" s="48"/>
      <c r="N14" s="48"/>
      <c r="O14" s="50"/>
      <c r="P14" s="52"/>
    </row>
    <row r="15" spans="1:16" ht="15.75" thickBot="1">
      <c r="A15" s="6" t="s">
        <v>3782</v>
      </c>
      <c r="B15" s="10" t="s">
        <v>1199</v>
      </c>
      <c r="C15" s="11" t="s">
        <v>3783</v>
      </c>
      <c r="D15" s="10" t="s">
        <v>2128</v>
      </c>
      <c r="E15" s="38" t="s">
        <v>2149</v>
      </c>
      <c r="F15" s="38">
        <v>26</v>
      </c>
      <c r="G15" s="38"/>
      <c r="H15" s="38" t="s">
        <v>2164</v>
      </c>
      <c r="I15" s="38" t="s">
        <v>2124</v>
      </c>
      <c r="J15" s="38"/>
      <c r="K15" s="38"/>
      <c r="L15" s="38" t="s">
        <v>2130</v>
      </c>
      <c r="M15" s="38">
        <v>1</v>
      </c>
      <c r="N15" s="38" t="s">
        <v>3475</v>
      </c>
      <c r="O15" s="10"/>
      <c r="P15" s="25" t="str">
        <f>HYPERLINK("http://biade.itrust.de/biade/lpext.dll?f=id&amp;id=biadb%3Ar%3A022380&amp;t=main-h.htm","22380")</f>
        <v>22380</v>
      </c>
    </row>
    <row r="16" spans="1:16" ht="15">
      <c r="A16" s="49" t="s">
        <v>3784</v>
      </c>
      <c r="B16" s="49" t="s">
        <v>1198</v>
      </c>
      <c r="C16" s="51" t="s">
        <v>3785</v>
      </c>
      <c r="D16" s="49" t="s">
        <v>2128</v>
      </c>
      <c r="E16" s="47" t="s">
        <v>3786</v>
      </c>
      <c r="F16" s="47" t="s">
        <v>3787</v>
      </c>
      <c r="G16" s="47" t="s">
        <v>2183</v>
      </c>
      <c r="H16" s="47" t="s">
        <v>2164</v>
      </c>
      <c r="I16" s="47" t="s">
        <v>2124</v>
      </c>
      <c r="J16" s="47"/>
      <c r="K16" s="39" t="s">
        <v>3774</v>
      </c>
      <c r="L16" s="47" t="s">
        <v>2130</v>
      </c>
      <c r="M16" s="47">
        <v>1</v>
      </c>
      <c r="N16" s="47" t="s">
        <v>171</v>
      </c>
      <c r="O16" s="49"/>
      <c r="P16" s="51"/>
    </row>
    <row r="17" spans="1:16" ht="15.75" thickBot="1">
      <c r="A17" s="50"/>
      <c r="B17" s="50"/>
      <c r="C17" s="52"/>
      <c r="D17" s="50"/>
      <c r="E17" s="48"/>
      <c r="F17" s="48"/>
      <c r="G17" s="48"/>
      <c r="H17" s="48"/>
      <c r="I17" s="48"/>
      <c r="J17" s="48"/>
      <c r="K17" s="38" t="s">
        <v>2190</v>
      </c>
      <c r="L17" s="48"/>
      <c r="M17" s="48"/>
      <c r="N17" s="48"/>
      <c r="O17" s="50"/>
      <c r="P17" s="52"/>
    </row>
    <row r="18" spans="1:16" ht="15.75" thickBot="1">
      <c r="A18" s="6" t="s">
        <v>3788</v>
      </c>
      <c r="B18" s="10" t="s">
        <v>2121</v>
      </c>
      <c r="C18" s="11" t="s">
        <v>3789</v>
      </c>
      <c r="D18" s="10" t="s">
        <v>2227</v>
      </c>
      <c r="E18" s="38" t="s">
        <v>3790</v>
      </c>
      <c r="F18" s="38" t="s">
        <v>3791</v>
      </c>
      <c r="G18" s="38"/>
      <c r="H18" s="38" t="s">
        <v>2129</v>
      </c>
      <c r="I18" s="38" t="s">
        <v>2124</v>
      </c>
      <c r="J18" s="38"/>
      <c r="K18" s="38" t="s">
        <v>2188</v>
      </c>
      <c r="L18" s="38" t="s">
        <v>2194</v>
      </c>
      <c r="M18" s="38">
        <v>1</v>
      </c>
      <c r="N18" s="38" t="s">
        <v>3792</v>
      </c>
      <c r="O18" s="10"/>
      <c r="P18" s="25" t="str">
        <f>HYPERLINK("http://biade.itrust.de/biade/lpext.dll?f=id&amp;id=biadb%3Ar%3A510497&amp;t=main-h.htm","510497")</f>
        <v>510497</v>
      </c>
    </row>
    <row r="19" spans="1:16" ht="15">
      <c r="A19" s="49" t="s">
        <v>3793</v>
      </c>
      <c r="B19" s="49"/>
      <c r="C19" s="51" t="s">
        <v>3794</v>
      </c>
      <c r="D19" s="49" t="s">
        <v>3795</v>
      </c>
      <c r="E19" s="47" t="s">
        <v>3796</v>
      </c>
      <c r="F19" s="47" t="s">
        <v>3797</v>
      </c>
      <c r="G19" s="47"/>
      <c r="H19" s="47" t="s">
        <v>2164</v>
      </c>
      <c r="I19" s="47" t="s">
        <v>2124</v>
      </c>
      <c r="J19" s="47"/>
      <c r="K19" s="39" t="s">
        <v>3774</v>
      </c>
      <c r="L19" s="47" t="s">
        <v>2194</v>
      </c>
      <c r="M19" s="47">
        <v>1</v>
      </c>
      <c r="N19" s="47" t="s">
        <v>3792</v>
      </c>
      <c r="O19" s="49"/>
      <c r="P19" s="51"/>
    </row>
    <row r="20" spans="1:16" ht="15">
      <c r="A20" s="56"/>
      <c r="B20" s="56"/>
      <c r="C20" s="57"/>
      <c r="D20" s="56"/>
      <c r="E20" s="55"/>
      <c r="F20" s="55"/>
      <c r="G20" s="55"/>
      <c r="H20" s="55"/>
      <c r="I20" s="55"/>
      <c r="J20" s="55"/>
      <c r="K20" s="39" t="s">
        <v>3781</v>
      </c>
      <c r="L20" s="55"/>
      <c r="M20" s="55"/>
      <c r="N20" s="55"/>
      <c r="O20" s="56"/>
      <c r="P20" s="57"/>
    </row>
    <row r="21" spans="1:16" ht="15.75" thickBot="1">
      <c r="A21" s="50"/>
      <c r="B21" s="50"/>
      <c r="C21" s="52"/>
      <c r="D21" s="50"/>
      <c r="E21" s="48"/>
      <c r="F21" s="48"/>
      <c r="G21" s="48"/>
      <c r="H21" s="48"/>
      <c r="I21" s="48"/>
      <c r="J21" s="48"/>
      <c r="K21" s="38" t="s">
        <v>2191</v>
      </c>
      <c r="L21" s="48"/>
      <c r="M21" s="48"/>
      <c r="N21" s="48"/>
      <c r="O21" s="50"/>
      <c r="P21" s="52"/>
    </row>
    <row r="22" spans="1:16" ht="15.75" thickBot="1">
      <c r="A22" s="6" t="s">
        <v>3798</v>
      </c>
      <c r="B22" s="10" t="s">
        <v>2121</v>
      </c>
      <c r="C22" s="11" t="s">
        <v>1213</v>
      </c>
      <c r="D22" s="10" t="s">
        <v>2128</v>
      </c>
      <c r="E22" s="38" t="s">
        <v>1214</v>
      </c>
      <c r="F22" s="38">
        <v>61</v>
      </c>
      <c r="G22" s="38"/>
      <c r="H22" s="38" t="s">
        <v>2164</v>
      </c>
      <c r="I22" s="38" t="s">
        <v>2124</v>
      </c>
      <c r="J22" s="38"/>
      <c r="K22" s="38"/>
      <c r="L22" s="38" t="s">
        <v>2130</v>
      </c>
      <c r="M22" s="38">
        <v>2</v>
      </c>
      <c r="N22" s="38" t="s">
        <v>2144</v>
      </c>
      <c r="O22" s="10"/>
      <c r="P22" s="11"/>
    </row>
    <row r="23" spans="1:16" ht="15.75" thickBot="1">
      <c r="A23" s="6" t="s">
        <v>1215</v>
      </c>
      <c r="B23" s="10" t="s">
        <v>2121</v>
      </c>
      <c r="C23" s="11" t="s">
        <v>1216</v>
      </c>
      <c r="D23" s="10" t="s">
        <v>2128</v>
      </c>
      <c r="E23" s="38">
        <v>22</v>
      </c>
      <c r="F23" s="38"/>
      <c r="G23" s="38"/>
      <c r="H23" s="38" t="s">
        <v>2164</v>
      </c>
      <c r="I23" s="38"/>
      <c r="J23" s="38"/>
      <c r="K23" s="38"/>
      <c r="L23" s="38" t="s">
        <v>2165</v>
      </c>
      <c r="M23" s="38">
        <v>1</v>
      </c>
      <c r="N23" s="38" t="s">
        <v>2144</v>
      </c>
      <c r="O23" s="10"/>
      <c r="P23" s="25" t="str">
        <f>HYPERLINK("http://biade.itrust.de/biade/lpext.dll?f=id&amp;id=biadb%3Ar%3A491133&amp;t=main-h.htm","491133")</f>
        <v>491133</v>
      </c>
    </row>
    <row r="24" spans="1:16" ht="15.75" thickBot="1">
      <c r="A24" s="6" t="s">
        <v>1217</v>
      </c>
      <c r="B24" s="10" t="s">
        <v>2121</v>
      </c>
      <c r="C24" s="11" t="s">
        <v>1218</v>
      </c>
      <c r="D24" s="10" t="s">
        <v>2128</v>
      </c>
      <c r="E24" s="38">
        <v>68</v>
      </c>
      <c r="F24" s="38" t="s">
        <v>3219</v>
      </c>
      <c r="G24" s="38"/>
      <c r="H24" s="38" t="s">
        <v>2129</v>
      </c>
      <c r="I24" s="38" t="s">
        <v>2124</v>
      </c>
      <c r="J24" s="38"/>
      <c r="K24" s="38"/>
      <c r="L24" s="38" t="s">
        <v>2165</v>
      </c>
      <c r="M24" s="38">
        <v>2</v>
      </c>
      <c r="N24" s="38"/>
      <c r="O24" s="10"/>
      <c r="P24" s="25" t="str">
        <f>HYPERLINK("http://biade.itrust.de/biade/lpext.dll?f=id&amp;id=biadb%3Ar%3A123753&amp;t=main-h.htm","123753")</f>
        <v>123753</v>
      </c>
    </row>
    <row r="25" spans="1:16" ht="15">
      <c r="A25" s="49" t="s">
        <v>1219</v>
      </c>
      <c r="B25" s="49" t="s">
        <v>1196</v>
      </c>
      <c r="C25" s="51" t="s">
        <v>1220</v>
      </c>
      <c r="D25" s="49" t="s">
        <v>1221</v>
      </c>
      <c r="E25" s="47" t="s">
        <v>1222</v>
      </c>
      <c r="F25" s="47" t="s">
        <v>1223</v>
      </c>
      <c r="G25" s="47" t="s">
        <v>2183</v>
      </c>
      <c r="H25" s="47" t="s">
        <v>1224</v>
      </c>
      <c r="I25" s="39">
        <v>0.2</v>
      </c>
      <c r="J25" s="47">
        <v>2</v>
      </c>
      <c r="K25" s="39" t="s">
        <v>1225</v>
      </c>
      <c r="L25" s="47" t="s">
        <v>2130</v>
      </c>
      <c r="M25" s="47">
        <v>3</v>
      </c>
      <c r="N25" s="47" t="s">
        <v>1226</v>
      </c>
      <c r="O25" s="49"/>
      <c r="P25" s="51"/>
    </row>
    <row r="26" spans="1:16" ht="16.5" customHeight="1" thickBot="1">
      <c r="A26" s="50"/>
      <c r="B26" s="50"/>
      <c r="C26" s="52"/>
      <c r="D26" s="50"/>
      <c r="E26" s="48"/>
      <c r="F26" s="48"/>
      <c r="G26" s="48"/>
      <c r="H26" s="48"/>
      <c r="I26" s="38">
        <v>0.09</v>
      </c>
      <c r="J26" s="48"/>
      <c r="K26" s="38" t="s">
        <v>2191</v>
      </c>
      <c r="L26" s="48"/>
      <c r="M26" s="48"/>
      <c r="N26" s="48"/>
      <c r="O26" s="50"/>
      <c r="P26" s="52"/>
    </row>
    <row r="27" spans="1:16" ht="15.75" thickBot="1">
      <c r="A27" s="6" t="s">
        <v>1227</v>
      </c>
      <c r="B27" s="10" t="s">
        <v>1197</v>
      </c>
      <c r="C27" s="11" t="s">
        <v>1228</v>
      </c>
      <c r="D27" s="10" t="s">
        <v>1229</v>
      </c>
      <c r="E27" s="38" t="s">
        <v>1230</v>
      </c>
      <c r="F27" s="38" t="s">
        <v>1231</v>
      </c>
      <c r="G27" s="38" t="s">
        <v>2180</v>
      </c>
      <c r="H27" s="41" t="s">
        <v>1232</v>
      </c>
      <c r="I27" s="38" t="s">
        <v>2124</v>
      </c>
      <c r="J27" s="38">
        <v>4</v>
      </c>
      <c r="K27" s="38" t="s">
        <v>2187</v>
      </c>
      <c r="L27" s="38" t="s">
        <v>2130</v>
      </c>
      <c r="M27" s="38">
        <v>3</v>
      </c>
      <c r="N27" s="38"/>
      <c r="O27" s="10"/>
      <c r="P27" s="25" t="str">
        <f>HYPERLINK("http://biade.itrust.de/biade/lpext.dll?f=id&amp;id=biadb%3Ar%3A014330&amp;t=main-h.htm","14330")</f>
        <v>14330</v>
      </c>
    </row>
    <row r="28" spans="1:16" ht="15.75" thickBot="1">
      <c r="A28" s="6" t="s">
        <v>1233</v>
      </c>
      <c r="B28" s="10" t="s">
        <v>1234</v>
      </c>
      <c r="C28" s="11" t="s">
        <v>1235</v>
      </c>
      <c r="D28" s="10" t="s">
        <v>1236</v>
      </c>
      <c r="E28" s="38" t="s">
        <v>1237</v>
      </c>
      <c r="F28" s="38" t="s">
        <v>1238</v>
      </c>
      <c r="G28" s="38" t="s">
        <v>2180</v>
      </c>
      <c r="H28" s="38" t="s">
        <v>2156</v>
      </c>
      <c r="I28" s="38" t="s">
        <v>2124</v>
      </c>
      <c r="J28" s="38">
        <v>4</v>
      </c>
      <c r="K28" s="38" t="s">
        <v>1239</v>
      </c>
      <c r="L28" s="38" t="s">
        <v>2214</v>
      </c>
      <c r="M28" s="38">
        <v>3</v>
      </c>
      <c r="N28" s="38" t="s">
        <v>2617</v>
      </c>
      <c r="O28" s="10"/>
      <c r="P28" s="25" t="str">
        <f>HYPERLINK("http://biade.itrust.de/biade/lpext.dll?f=id&amp;id=biadb%3Ar%3A011410&amp;t=main-h.htm","11410")</f>
        <v>11410</v>
      </c>
    </row>
    <row r="29" spans="1:16" ht="15">
      <c r="A29" s="49" t="s">
        <v>1240</v>
      </c>
      <c r="B29" s="49" t="s">
        <v>1208</v>
      </c>
      <c r="C29" s="51" t="s">
        <v>1241</v>
      </c>
      <c r="D29" s="49" t="s">
        <v>1242</v>
      </c>
      <c r="E29" s="47" t="s">
        <v>1243</v>
      </c>
      <c r="F29" s="47" t="s">
        <v>1244</v>
      </c>
      <c r="G29" s="47"/>
      <c r="H29" s="47" t="s">
        <v>1245</v>
      </c>
      <c r="I29" s="39">
        <v>30</v>
      </c>
      <c r="J29" s="47">
        <v>1</v>
      </c>
      <c r="K29" s="39" t="s">
        <v>3774</v>
      </c>
      <c r="L29" s="47" t="s">
        <v>2130</v>
      </c>
      <c r="M29" s="47">
        <v>1</v>
      </c>
      <c r="N29" s="47" t="s">
        <v>1246</v>
      </c>
      <c r="O29" s="49"/>
      <c r="P29" s="51"/>
    </row>
    <row r="30" spans="1:16" ht="15.75" thickBot="1">
      <c r="A30" s="50"/>
      <c r="B30" s="50"/>
      <c r="C30" s="52"/>
      <c r="D30" s="50"/>
      <c r="E30" s="48"/>
      <c r="F30" s="48"/>
      <c r="G30" s="48"/>
      <c r="H30" s="48"/>
      <c r="I30" s="38">
        <v>10</v>
      </c>
      <c r="J30" s="48"/>
      <c r="K30" s="38" t="s">
        <v>2190</v>
      </c>
      <c r="L30" s="48"/>
      <c r="M30" s="48"/>
      <c r="N30" s="48"/>
      <c r="O30" s="50"/>
      <c r="P30" s="52"/>
    </row>
    <row r="31" spans="1:16" ht="15.75" thickBot="1">
      <c r="A31" s="6" t="s">
        <v>1247</v>
      </c>
      <c r="B31" s="10" t="s">
        <v>1248</v>
      </c>
      <c r="C31" s="11" t="s">
        <v>1249</v>
      </c>
      <c r="D31" s="10" t="s">
        <v>2128</v>
      </c>
      <c r="E31" s="38">
        <v>22</v>
      </c>
      <c r="F31" s="38" t="s">
        <v>2163</v>
      </c>
      <c r="G31" s="38"/>
      <c r="H31" s="38" t="s">
        <v>2129</v>
      </c>
      <c r="I31" s="38" t="s">
        <v>2124</v>
      </c>
      <c r="J31" s="38"/>
      <c r="K31" s="38"/>
      <c r="L31" s="38" t="s">
        <v>2130</v>
      </c>
      <c r="M31" s="38">
        <v>3</v>
      </c>
      <c r="N31" s="38" t="s">
        <v>2144</v>
      </c>
      <c r="O31" s="10"/>
      <c r="P31" s="11"/>
    </row>
    <row r="32" spans="1:16" ht="15.75" thickBot="1">
      <c r="A32" s="6" t="s">
        <v>1250</v>
      </c>
      <c r="B32" s="10" t="s">
        <v>1195</v>
      </c>
      <c r="C32" s="11" t="s">
        <v>1251</v>
      </c>
      <c r="D32" s="10" t="s">
        <v>2134</v>
      </c>
      <c r="E32" s="38">
        <v>36</v>
      </c>
      <c r="F32" s="38">
        <v>2</v>
      </c>
      <c r="G32" s="38"/>
      <c r="H32" s="38" t="s">
        <v>2164</v>
      </c>
      <c r="I32" s="38" t="s">
        <v>2124</v>
      </c>
      <c r="J32" s="38"/>
      <c r="K32" s="38"/>
      <c r="L32" s="38" t="s">
        <v>2165</v>
      </c>
      <c r="M32" s="38">
        <v>1</v>
      </c>
      <c r="N32" s="38" t="s">
        <v>1252</v>
      </c>
      <c r="O32" s="10"/>
      <c r="P32" s="11"/>
    </row>
    <row r="33" spans="1:16" ht="15.75" thickBot="1">
      <c r="A33" s="6" t="s">
        <v>916</v>
      </c>
      <c r="B33" s="10"/>
      <c r="C33" s="11" t="s">
        <v>1253</v>
      </c>
      <c r="D33" s="10" t="s">
        <v>2227</v>
      </c>
      <c r="E33" s="38" t="s">
        <v>3790</v>
      </c>
      <c r="F33" s="38" t="s">
        <v>1254</v>
      </c>
      <c r="G33" s="38"/>
      <c r="H33" s="38" t="s">
        <v>2164</v>
      </c>
      <c r="I33" s="38" t="s">
        <v>2124</v>
      </c>
      <c r="J33" s="38"/>
      <c r="K33" s="38"/>
      <c r="L33" s="38" t="s">
        <v>2194</v>
      </c>
      <c r="M33" s="38">
        <v>3</v>
      </c>
      <c r="N33" s="38" t="s">
        <v>3792</v>
      </c>
      <c r="O33" s="10"/>
      <c r="P33" s="25" t="str">
        <f>HYPERLINK("http://biade.itrust.de/biade/lpext.dll?f=id&amp;id=biadb%3Ar%3A492761&amp;t=main-h.htm","492761")</f>
        <v>492761</v>
      </c>
    </row>
    <row r="34" spans="1:16" ht="15" customHeight="1">
      <c r="A34" s="49" t="s">
        <v>1255</v>
      </c>
      <c r="B34" s="7" t="s">
        <v>1194</v>
      </c>
      <c r="C34" s="51" t="s">
        <v>1257</v>
      </c>
      <c r="D34" s="49" t="s">
        <v>1229</v>
      </c>
      <c r="E34" s="47" t="s">
        <v>1258</v>
      </c>
      <c r="F34" s="47" t="s">
        <v>1259</v>
      </c>
      <c r="G34" s="47"/>
      <c r="H34" s="47" t="s">
        <v>1245</v>
      </c>
      <c r="I34" s="47" t="s">
        <v>2124</v>
      </c>
      <c r="J34" s="47"/>
      <c r="K34" s="47" t="s">
        <v>2157</v>
      </c>
      <c r="L34" s="47" t="s">
        <v>2165</v>
      </c>
      <c r="M34" s="47">
        <v>3</v>
      </c>
      <c r="N34" s="47" t="s">
        <v>1260</v>
      </c>
      <c r="O34" s="49"/>
      <c r="P34" s="51"/>
    </row>
    <row r="35" spans="1:16" ht="15.75" thickBot="1">
      <c r="A35" s="50"/>
      <c r="B35" s="10" t="s">
        <v>1256</v>
      </c>
      <c r="C35" s="52"/>
      <c r="D35" s="50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50"/>
      <c r="P35" s="52"/>
    </row>
    <row r="36" spans="1:16" ht="15">
      <c r="A36" s="49" t="s">
        <v>1261</v>
      </c>
      <c r="B36" s="7" t="s">
        <v>1193</v>
      </c>
      <c r="C36" s="51" t="s">
        <v>1263</v>
      </c>
      <c r="D36" s="49" t="s">
        <v>2134</v>
      </c>
      <c r="E36" s="47">
        <v>36</v>
      </c>
      <c r="F36" s="47"/>
      <c r="G36" s="47"/>
      <c r="H36" s="47" t="s">
        <v>2164</v>
      </c>
      <c r="I36" s="47" t="s">
        <v>2124</v>
      </c>
      <c r="J36" s="47"/>
      <c r="K36" s="47"/>
      <c r="L36" s="47" t="s">
        <v>2165</v>
      </c>
      <c r="M36" s="47">
        <v>1</v>
      </c>
      <c r="N36" s="47"/>
      <c r="O36" s="49"/>
      <c r="P36" s="51"/>
    </row>
    <row r="37" spans="1:16" ht="15.75" thickBot="1">
      <c r="A37" s="50"/>
      <c r="B37" s="10" t="s">
        <v>1262</v>
      </c>
      <c r="C37" s="52"/>
      <c r="D37" s="50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50"/>
      <c r="P37" s="52"/>
    </row>
    <row r="38" spans="1:16" ht="15.75" thickBot="1">
      <c r="A38" s="6" t="s">
        <v>1264</v>
      </c>
      <c r="B38" s="10" t="s">
        <v>2121</v>
      </c>
      <c r="C38" s="11" t="s">
        <v>1265</v>
      </c>
      <c r="D38" s="10"/>
      <c r="E38" s="38"/>
      <c r="F38" s="38"/>
      <c r="G38" s="38"/>
      <c r="H38" s="38" t="s">
        <v>2123</v>
      </c>
      <c r="I38" s="38" t="s">
        <v>2124</v>
      </c>
      <c r="J38" s="38"/>
      <c r="K38" s="38"/>
      <c r="L38" s="38" t="s">
        <v>2125</v>
      </c>
      <c r="M38" s="38"/>
      <c r="N38" s="38"/>
      <c r="O38" s="10"/>
      <c r="P38" s="11"/>
    </row>
    <row r="39" spans="1:16" ht="15.75" thickBot="1">
      <c r="A39" s="6" t="s">
        <v>1266</v>
      </c>
      <c r="B39" s="10" t="s">
        <v>2121</v>
      </c>
      <c r="C39" s="11" t="s">
        <v>1267</v>
      </c>
      <c r="D39" s="10"/>
      <c r="E39" s="38"/>
      <c r="F39" s="38"/>
      <c r="G39" s="38"/>
      <c r="H39" s="38" t="s">
        <v>2123</v>
      </c>
      <c r="I39" s="38" t="s">
        <v>2124</v>
      </c>
      <c r="J39" s="38"/>
      <c r="K39" s="38"/>
      <c r="L39" s="38" t="s">
        <v>2125</v>
      </c>
      <c r="M39" s="38" t="s">
        <v>2221</v>
      </c>
      <c r="N39" s="38"/>
      <c r="O39" s="10"/>
      <c r="P39" s="25" t="str">
        <f>HYPERLINK("http://biade.itrust.de/biade/lpext.dll?f=id&amp;id=biadb%3Ar%3A008040&amp;t=main-h.htm","8040")</f>
        <v>8040</v>
      </c>
    </row>
    <row r="40" spans="1:16" ht="26.25" thickBot="1">
      <c r="A40" s="17" t="s">
        <v>1268</v>
      </c>
      <c r="B40" s="10" t="s">
        <v>1191</v>
      </c>
      <c r="C40" s="11" t="s">
        <v>1269</v>
      </c>
      <c r="D40" s="10"/>
      <c r="E40" s="38"/>
      <c r="F40" s="38"/>
      <c r="G40" s="38"/>
      <c r="H40" s="38" t="s">
        <v>2123</v>
      </c>
      <c r="I40" s="38" t="s">
        <v>2124</v>
      </c>
      <c r="J40" s="38"/>
      <c r="K40" s="38"/>
      <c r="L40" s="38" t="s">
        <v>2125</v>
      </c>
      <c r="M40" s="38" t="s">
        <v>1270</v>
      </c>
      <c r="N40" s="38"/>
      <c r="O40" s="10"/>
      <c r="P40" s="11"/>
    </row>
    <row r="41" spans="1:16" ht="26.25" thickBot="1">
      <c r="A41" s="6" t="s">
        <v>1271</v>
      </c>
      <c r="B41" s="10" t="s">
        <v>1192</v>
      </c>
      <c r="C41" s="11" t="s">
        <v>1272</v>
      </c>
      <c r="D41" s="10"/>
      <c r="E41" s="38"/>
      <c r="F41" s="38"/>
      <c r="G41" s="38"/>
      <c r="H41" s="38" t="s">
        <v>2123</v>
      </c>
      <c r="I41" s="38" t="s">
        <v>2124</v>
      </c>
      <c r="J41" s="38"/>
      <c r="K41" s="38"/>
      <c r="L41" s="38" t="s">
        <v>2125</v>
      </c>
      <c r="M41" s="38" t="s">
        <v>1270</v>
      </c>
      <c r="N41" s="38"/>
      <c r="O41" s="10"/>
      <c r="P41" s="11"/>
    </row>
    <row r="42" spans="1:16" ht="26.25" thickBot="1">
      <c r="A42" s="6" t="s">
        <v>1273</v>
      </c>
      <c r="B42" s="10" t="s">
        <v>1192</v>
      </c>
      <c r="C42" s="11" t="s">
        <v>1274</v>
      </c>
      <c r="D42" s="10"/>
      <c r="E42" s="38"/>
      <c r="F42" s="38"/>
      <c r="G42" s="38"/>
      <c r="H42" s="38" t="s">
        <v>2123</v>
      </c>
      <c r="I42" s="38" t="s">
        <v>2124</v>
      </c>
      <c r="J42" s="38"/>
      <c r="K42" s="38"/>
      <c r="L42" s="38" t="s">
        <v>2125</v>
      </c>
      <c r="M42" s="38">
        <v>1</v>
      </c>
      <c r="N42" s="38"/>
      <c r="O42" s="10"/>
      <c r="P42" s="25" t="str">
        <f>HYPERLINK("http://biade.itrust.de/biade/lpext.dll?f=id&amp;id=biadb%3Ar%3A012950&amp;t=main-h.htm","12950")</f>
        <v>12950</v>
      </c>
    </row>
    <row r="43" spans="1:16" ht="15.75" thickBot="1">
      <c r="A43" s="6" t="s">
        <v>3840</v>
      </c>
      <c r="B43" s="10" t="s">
        <v>2121</v>
      </c>
      <c r="C43" s="11" t="s">
        <v>3841</v>
      </c>
      <c r="D43" s="10"/>
      <c r="E43" s="38"/>
      <c r="F43" s="38"/>
      <c r="G43" s="38"/>
      <c r="H43" s="38" t="s">
        <v>2123</v>
      </c>
      <c r="I43" s="38" t="s">
        <v>2124</v>
      </c>
      <c r="J43" s="38"/>
      <c r="K43" s="38"/>
      <c r="L43" s="38" t="s">
        <v>2125</v>
      </c>
      <c r="M43" s="38" t="s">
        <v>2221</v>
      </c>
      <c r="N43" s="38"/>
      <c r="O43" s="10"/>
      <c r="P43" s="11"/>
    </row>
    <row r="44" spans="1:16" ht="15.75" thickBot="1">
      <c r="A44" s="6" t="s">
        <v>3842</v>
      </c>
      <c r="B44" s="10" t="s">
        <v>3843</v>
      </c>
      <c r="C44" s="11" t="s">
        <v>3844</v>
      </c>
      <c r="D44" s="10" t="s">
        <v>2134</v>
      </c>
      <c r="E44" s="38">
        <v>36</v>
      </c>
      <c r="F44" s="38" t="s">
        <v>3845</v>
      </c>
      <c r="G44" s="38"/>
      <c r="H44" s="38" t="s">
        <v>3846</v>
      </c>
      <c r="I44" s="38" t="s">
        <v>2124</v>
      </c>
      <c r="J44" s="38"/>
      <c r="K44" s="38"/>
      <c r="L44" s="38" t="s">
        <v>2165</v>
      </c>
      <c r="M44" s="38"/>
      <c r="N44" s="38"/>
      <c r="O44" s="10"/>
      <c r="P44" s="11"/>
    </row>
    <row r="45" spans="1:16" ht="15">
      <c r="A45" s="49" t="s">
        <v>979</v>
      </c>
      <c r="B45" s="7" t="s">
        <v>3847</v>
      </c>
      <c r="C45" s="51" t="s">
        <v>3849</v>
      </c>
      <c r="D45" s="49"/>
      <c r="E45" s="47"/>
      <c r="F45" s="47"/>
      <c r="G45" s="47"/>
      <c r="H45" s="47" t="s">
        <v>2123</v>
      </c>
      <c r="I45" s="47" t="s">
        <v>2124</v>
      </c>
      <c r="J45" s="47"/>
      <c r="K45" s="47"/>
      <c r="L45" s="47" t="s">
        <v>2130</v>
      </c>
      <c r="M45" s="47">
        <v>2</v>
      </c>
      <c r="N45" s="47" t="s">
        <v>1252</v>
      </c>
      <c r="O45" s="49"/>
      <c r="P45" s="51"/>
    </row>
    <row r="46" spans="1:16" ht="15.75" thickBot="1">
      <c r="A46" s="50"/>
      <c r="B46" s="10" t="s">
        <v>3848</v>
      </c>
      <c r="C46" s="52"/>
      <c r="D46" s="50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50"/>
      <c r="P46" s="52"/>
    </row>
    <row r="47" spans="1:16" ht="15.75" thickBot="1">
      <c r="A47" s="6" t="s">
        <v>3850</v>
      </c>
      <c r="B47" s="10" t="s">
        <v>3851</v>
      </c>
      <c r="C47" s="11" t="s">
        <v>3852</v>
      </c>
      <c r="D47" s="10"/>
      <c r="E47" s="38"/>
      <c r="F47" s="38"/>
      <c r="G47" s="38"/>
      <c r="H47" s="38" t="s">
        <v>2123</v>
      </c>
      <c r="I47" s="38" t="s">
        <v>2124</v>
      </c>
      <c r="J47" s="38"/>
      <c r="K47" s="38"/>
      <c r="L47" s="38" t="s">
        <v>2165</v>
      </c>
      <c r="M47" s="38">
        <v>2</v>
      </c>
      <c r="N47" s="38"/>
      <c r="O47" s="10"/>
      <c r="P47" s="11"/>
    </row>
    <row r="48" spans="1:16" ht="15.75" thickBot="1">
      <c r="A48" s="6" t="s">
        <v>3853</v>
      </c>
      <c r="B48" s="10" t="s">
        <v>3854</v>
      </c>
      <c r="C48" s="11" t="s">
        <v>3855</v>
      </c>
      <c r="D48" s="10"/>
      <c r="E48" s="38"/>
      <c r="F48" s="38" t="s">
        <v>3856</v>
      </c>
      <c r="G48" s="38"/>
      <c r="H48" s="38" t="s">
        <v>2123</v>
      </c>
      <c r="I48" s="38" t="s">
        <v>2124</v>
      </c>
      <c r="J48" s="38"/>
      <c r="K48" s="38"/>
      <c r="L48" s="38" t="s">
        <v>2165</v>
      </c>
      <c r="M48" s="38"/>
      <c r="N48" s="38"/>
      <c r="O48" s="10"/>
      <c r="P48" s="11"/>
    </row>
    <row r="49" spans="1:16" ht="15">
      <c r="A49" s="49" t="s">
        <v>3857</v>
      </c>
      <c r="B49" s="49" t="s">
        <v>2121</v>
      </c>
      <c r="C49" s="51" t="s">
        <v>3858</v>
      </c>
      <c r="D49" s="49" t="s">
        <v>3859</v>
      </c>
      <c r="E49" s="47" t="s">
        <v>3860</v>
      </c>
      <c r="F49" s="47" t="s">
        <v>3861</v>
      </c>
      <c r="G49" s="47"/>
      <c r="H49" s="47" t="s">
        <v>2164</v>
      </c>
      <c r="I49" s="39" t="s">
        <v>3862</v>
      </c>
      <c r="J49" s="47"/>
      <c r="K49" s="47"/>
      <c r="L49" s="47" t="s">
        <v>2125</v>
      </c>
      <c r="M49" s="47" t="s">
        <v>2221</v>
      </c>
      <c r="N49" s="47"/>
      <c r="O49" s="49"/>
      <c r="P49" s="51"/>
    </row>
    <row r="50" spans="1:16" ht="15.75" thickBot="1">
      <c r="A50" s="50"/>
      <c r="B50" s="50"/>
      <c r="C50" s="52"/>
      <c r="D50" s="50"/>
      <c r="E50" s="48"/>
      <c r="F50" s="48"/>
      <c r="G50" s="48"/>
      <c r="H50" s="48"/>
      <c r="I50" s="38" t="s">
        <v>2124</v>
      </c>
      <c r="J50" s="48"/>
      <c r="K50" s="48"/>
      <c r="L50" s="48"/>
      <c r="M50" s="48"/>
      <c r="N50" s="48"/>
      <c r="O50" s="50"/>
      <c r="P50" s="52"/>
    </row>
    <row r="51" spans="1:16" ht="15.75" thickBot="1">
      <c r="A51" s="6" t="s">
        <v>917</v>
      </c>
      <c r="B51" s="10" t="s">
        <v>2121</v>
      </c>
      <c r="C51" s="11" t="s">
        <v>3863</v>
      </c>
      <c r="D51" s="10"/>
      <c r="E51" s="38"/>
      <c r="F51" s="38" t="s">
        <v>3856</v>
      </c>
      <c r="G51" s="38"/>
      <c r="H51" s="38" t="s">
        <v>2123</v>
      </c>
      <c r="I51" s="38" t="s">
        <v>2124</v>
      </c>
      <c r="J51" s="38"/>
      <c r="K51" s="38"/>
      <c r="L51" s="38" t="s">
        <v>2125</v>
      </c>
      <c r="M51" s="38">
        <v>1</v>
      </c>
      <c r="N51" s="38"/>
      <c r="O51" s="10"/>
      <c r="P51" s="11"/>
    </row>
    <row r="52" spans="1:16" ht="25.5" customHeight="1">
      <c r="A52" s="5" t="s">
        <v>3864</v>
      </c>
      <c r="B52" s="49" t="s">
        <v>2121</v>
      </c>
      <c r="C52" s="51" t="s">
        <v>3865</v>
      </c>
      <c r="D52" s="49" t="s">
        <v>2227</v>
      </c>
      <c r="E52" s="47" t="s">
        <v>3866</v>
      </c>
      <c r="F52" s="47" t="s">
        <v>3867</v>
      </c>
      <c r="G52" s="47"/>
      <c r="H52" s="47" t="s">
        <v>3868</v>
      </c>
      <c r="I52" s="47" t="s">
        <v>2124</v>
      </c>
      <c r="J52" s="47"/>
      <c r="K52" s="47"/>
      <c r="L52" s="47" t="s">
        <v>2206</v>
      </c>
      <c r="M52" s="47">
        <v>1</v>
      </c>
      <c r="N52" s="47" t="s">
        <v>3869</v>
      </c>
      <c r="O52" s="49"/>
      <c r="P52" s="51"/>
    </row>
    <row r="53" spans="1:16" ht="15.75" thickBot="1">
      <c r="A53" s="6" t="s">
        <v>2160</v>
      </c>
      <c r="B53" s="50"/>
      <c r="C53" s="52"/>
      <c r="D53" s="50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50"/>
      <c r="P53" s="52"/>
    </row>
    <row r="54" spans="1:16" ht="15.75" thickBot="1">
      <c r="A54" s="6" t="s">
        <v>3870</v>
      </c>
      <c r="B54" s="10" t="s">
        <v>2177</v>
      </c>
      <c r="C54" s="11" t="s">
        <v>3871</v>
      </c>
      <c r="D54" s="10" t="s">
        <v>3771</v>
      </c>
      <c r="E54" s="38" t="s">
        <v>3872</v>
      </c>
      <c r="F54" s="38" t="s">
        <v>3873</v>
      </c>
      <c r="G54" s="38"/>
      <c r="H54" s="38" t="s">
        <v>2164</v>
      </c>
      <c r="I54" s="38" t="s">
        <v>2124</v>
      </c>
      <c r="J54" s="38"/>
      <c r="K54" s="38"/>
      <c r="L54" s="38" t="s">
        <v>2213</v>
      </c>
      <c r="M54" s="38">
        <v>1</v>
      </c>
      <c r="N54" s="38"/>
      <c r="O54" s="10"/>
      <c r="P54" s="25" t="str">
        <f>HYPERLINK("http://biade.itrust.de/biade/lpext.dll?f=id&amp;id=biadb%3Ar%3A004970&amp;t=main-h.htm","4970")</f>
        <v>4970</v>
      </c>
    </row>
    <row r="55" spans="1:16" ht="25.5" customHeight="1">
      <c r="A55" s="5" t="s">
        <v>3874</v>
      </c>
      <c r="B55" s="49"/>
      <c r="C55" s="51" t="s">
        <v>3875</v>
      </c>
      <c r="D55" s="49" t="s">
        <v>2227</v>
      </c>
      <c r="E55" s="47">
        <v>34</v>
      </c>
      <c r="F55" s="47" t="s">
        <v>3876</v>
      </c>
      <c r="G55" s="47"/>
      <c r="H55" s="47" t="s">
        <v>2164</v>
      </c>
      <c r="I55" s="47" t="s">
        <v>2124</v>
      </c>
      <c r="J55" s="47"/>
      <c r="K55" s="47"/>
      <c r="L55" s="47" t="s">
        <v>2206</v>
      </c>
      <c r="M55" s="47">
        <v>1</v>
      </c>
      <c r="N55" s="47" t="s">
        <v>3792</v>
      </c>
      <c r="O55" s="49"/>
      <c r="P55" s="51"/>
    </row>
    <row r="56" spans="1:16" ht="15.75" thickBot="1">
      <c r="A56" s="6" t="s">
        <v>2160</v>
      </c>
      <c r="B56" s="50"/>
      <c r="C56" s="52"/>
      <c r="D56" s="50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50"/>
      <c r="P56" s="52"/>
    </row>
    <row r="57" spans="1:16" ht="15.75" thickBot="1">
      <c r="A57" s="6" t="s">
        <v>3877</v>
      </c>
      <c r="B57" s="10" t="s">
        <v>2121</v>
      </c>
      <c r="C57" s="11" t="s">
        <v>3878</v>
      </c>
      <c r="D57" s="10" t="s">
        <v>2134</v>
      </c>
      <c r="E57" s="38" t="s">
        <v>2135</v>
      </c>
      <c r="F57" s="38"/>
      <c r="G57" s="38"/>
      <c r="H57" s="38" t="s">
        <v>2129</v>
      </c>
      <c r="I57" s="38" t="s">
        <v>2124</v>
      </c>
      <c r="J57" s="38"/>
      <c r="K57" s="38"/>
      <c r="L57" s="38" t="s">
        <v>2136</v>
      </c>
      <c r="M57" s="38">
        <v>1</v>
      </c>
      <c r="N57" s="38"/>
      <c r="O57" s="10"/>
      <c r="P57" s="11"/>
    </row>
    <row r="58" spans="1:16" ht="15">
      <c r="A58" s="49" t="s">
        <v>3879</v>
      </c>
      <c r="B58" s="49" t="s">
        <v>2121</v>
      </c>
      <c r="C58" s="51" t="s">
        <v>3880</v>
      </c>
      <c r="D58" s="49"/>
      <c r="E58" s="47"/>
      <c r="F58" s="47"/>
      <c r="G58" s="47"/>
      <c r="H58" s="47" t="s">
        <v>2123</v>
      </c>
      <c r="I58" s="39">
        <v>3</v>
      </c>
      <c r="J58" s="47" t="s">
        <v>3881</v>
      </c>
      <c r="K58" s="47"/>
      <c r="L58" s="47" t="s">
        <v>2125</v>
      </c>
      <c r="M58" s="47"/>
      <c r="N58" s="47"/>
      <c r="O58" s="49"/>
      <c r="P58" s="51"/>
    </row>
    <row r="59" spans="1:16" ht="15.75" thickBot="1">
      <c r="A59" s="50"/>
      <c r="B59" s="50"/>
      <c r="C59" s="52"/>
      <c r="D59" s="50"/>
      <c r="E59" s="48"/>
      <c r="F59" s="48"/>
      <c r="G59" s="48"/>
      <c r="H59" s="48"/>
      <c r="I59" s="38" t="s">
        <v>2124</v>
      </c>
      <c r="J59" s="48"/>
      <c r="K59" s="48"/>
      <c r="L59" s="48"/>
      <c r="M59" s="48"/>
      <c r="N59" s="48"/>
      <c r="O59" s="50"/>
      <c r="P59" s="52"/>
    </row>
    <row r="60" spans="1:16" ht="15.75" thickBot="1">
      <c r="A60" s="6" t="s">
        <v>3882</v>
      </c>
      <c r="B60" s="10" t="s">
        <v>2121</v>
      </c>
      <c r="C60" s="11" t="s">
        <v>3883</v>
      </c>
      <c r="D60" s="10" t="s">
        <v>2227</v>
      </c>
      <c r="E60" s="38">
        <v>34</v>
      </c>
      <c r="F60" s="38" t="s">
        <v>3884</v>
      </c>
      <c r="G60" s="38"/>
      <c r="H60" s="38" t="s">
        <v>2129</v>
      </c>
      <c r="I60" s="38" t="s">
        <v>2124</v>
      </c>
      <c r="J60" s="38"/>
      <c r="K60" s="38"/>
      <c r="L60" s="38" t="s">
        <v>2136</v>
      </c>
      <c r="M60" s="38">
        <v>3</v>
      </c>
      <c r="N60" s="38" t="s">
        <v>3792</v>
      </c>
      <c r="O60" s="10"/>
      <c r="P60" s="11"/>
    </row>
    <row r="61" spans="1:16" ht="15.75" thickBot="1">
      <c r="A61" s="6" t="s">
        <v>3885</v>
      </c>
      <c r="B61" s="10" t="s">
        <v>2121</v>
      </c>
      <c r="C61" s="11" t="s">
        <v>3886</v>
      </c>
      <c r="D61" s="10" t="s">
        <v>3887</v>
      </c>
      <c r="E61" s="38" t="s">
        <v>3888</v>
      </c>
      <c r="F61" s="38"/>
      <c r="G61" s="38"/>
      <c r="H61" s="38" t="s">
        <v>2129</v>
      </c>
      <c r="I61" s="38" t="s">
        <v>2124</v>
      </c>
      <c r="J61" s="38"/>
      <c r="K61" s="38"/>
      <c r="L61" s="38" t="s">
        <v>2136</v>
      </c>
      <c r="M61" s="38">
        <v>1</v>
      </c>
      <c r="N61" s="38"/>
      <c r="O61" s="10"/>
      <c r="P61" s="25" t="str">
        <f>HYPERLINK("http://biade.itrust.de/biade/lpext.dll?f=id&amp;id=biadb%3Ar%3A491034&amp;t=main-h.htm","491034")</f>
        <v>491034</v>
      </c>
    </row>
    <row r="62" spans="1:16" ht="15">
      <c r="A62" s="49" t="s">
        <v>3889</v>
      </c>
      <c r="B62" s="49" t="s">
        <v>2121</v>
      </c>
      <c r="C62" s="51" t="s">
        <v>3890</v>
      </c>
      <c r="D62" s="49"/>
      <c r="E62" s="47"/>
      <c r="F62" s="47">
        <v>22</v>
      </c>
      <c r="G62" s="47"/>
      <c r="H62" s="47" t="s">
        <v>2123</v>
      </c>
      <c r="I62" s="39" t="s">
        <v>3862</v>
      </c>
      <c r="J62" s="47">
        <v>4</v>
      </c>
      <c r="K62" s="47"/>
      <c r="L62" s="47" t="s">
        <v>2136</v>
      </c>
      <c r="M62" s="47" t="s">
        <v>2221</v>
      </c>
      <c r="N62" s="47"/>
      <c r="O62" s="49"/>
      <c r="P62" s="51"/>
    </row>
    <row r="63" spans="1:16" ht="15.75" thickBot="1">
      <c r="A63" s="50"/>
      <c r="B63" s="50"/>
      <c r="C63" s="52"/>
      <c r="D63" s="50"/>
      <c r="E63" s="48"/>
      <c r="F63" s="48"/>
      <c r="G63" s="48"/>
      <c r="H63" s="48"/>
      <c r="I63" s="38" t="s">
        <v>2124</v>
      </c>
      <c r="J63" s="48"/>
      <c r="K63" s="48"/>
      <c r="L63" s="48"/>
      <c r="M63" s="48"/>
      <c r="N63" s="48"/>
      <c r="O63" s="50"/>
      <c r="P63" s="52"/>
    </row>
    <row r="64" spans="1:16" ht="15.75" thickBot="1">
      <c r="A64" s="6" t="s">
        <v>3891</v>
      </c>
      <c r="B64" s="10"/>
      <c r="C64" s="11" t="s">
        <v>3892</v>
      </c>
      <c r="D64" s="10" t="s">
        <v>1221</v>
      </c>
      <c r="E64" s="38" t="s">
        <v>3893</v>
      </c>
      <c r="F64" s="38" t="s">
        <v>3894</v>
      </c>
      <c r="G64" s="38"/>
      <c r="H64" s="38" t="s">
        <v>1224</v>
      </c>
      <c r="I64" s="38" t="s">
        <v>2124</v>
      </c>
      <c r="J64" s="38"/>
      <c r="K64" s="38" t="s">
        <v>2187</v>
      </c>
      <c r="L64" s="38" t="s">
        <v>2213</v>
      </c>
      <c r="M64" s="38">
        <v>2</v>
      </c>
      <c r="N64" s="38"/>
      <c r="O64" s="10"/>
      <c r="P64" s="25" t="str">
        <f>HYPERLINK("http://biade.itrust.de/biade/lpext.dll?f=id&amp;id=biadb%3Ar%3A005560&amp;t=main-h.htm","5560")</f>
        <v>5560</v>
      </c>
    </row>
    <row r="65" spans="1:16" ht="15.75" thickBot="1">
      <c r="A65" s="6" t="s">
        <v>3895</v>
      </c>
      <c r="B65" s="10" t="s">
        <v>3896</v>
      </c>
      <c r="C65" s="11" t="s">
        <v>3897</v>
      </c>
      <c r="D65" s="10" t="s">
        <v>2134</v>
      </c>
      <c r="E65" s="38">
        <v>41</v>
      </c>
      <c r="F65" s="38" t="s">
        <v>3898</v>
      </c>
      <c r="G65" s="38"/>
      <c r="H65" s="38" t="s">
        <v>2129</v>
      </c>
      <c r="I65" s="38" t="s">
        <v>2124</v>
      </c>
      <c r="J65" s="38"/>
      <c r="K65" s="38"/>
      <c r="L65" s="38" t="s">
        <v>2125</v>
      </c>
      <c r="M65" s="38">
        <v>1</v>
      </c>
      <c r="N65" s="38"/>
      <c r="O65" s="10"/>
      <c r="P65" s="25" t="str">
        <f>HYPERLINK("http://biade.itrust.de/biade/lpext.dll?f=id&amp;id=biadb%3Ar%3A002320&amp;t=main-h.htm","2320")</f>
        <v>2320</v>
      </c>
    </row>
    <row r="66" spans="1:16" ht="15.75" thickBot="1">
      <c r="A66" s="6" t="s">
        <v>3899</v>
      </c>
      <c r="B66" s="10" t="s">
        <v>3896</v>
      </c>
      <c r="C66" s="11" t="s">
        <v>3900</v>
      </c>
      <c r="D66" s="10" t="s">
        <v>3901</v>
      </c>
      <c r="E66" s="38" t="s">
        <v>3902</v>
      </c>
      <c r="F66" s="38" t="s">
        <v>3898</v>
      </c>
      <c r="G66" s="38"/>
      <c r="H66" s="38" t="s">
        <v>2164</v>
      </c>
      <c r="I66" s="38" t="s">
        <v>2124</v>
      </c>
      <c r="J66" s="38"/>
      <c r="K66" s="38"/>
      <c r="L66" s="38" t="s">
        <v>2136</v>
      </c>
      <c r="M66" s="38">
        <v>1</v>
      </c>
      <c r="N66" s="38"/>
      <c r="O66" s="10"/>
      <c r="P66" s="25" t="str">
        <f>HYPERLINK("http://biade.itrust.de/biade/lpext.dll?f=id&amp;id=biadb%3Ar%3A002320&amp;t=main-h.htm","2320")</f>
        <v>2320</v>
      </c>
    </row>
    <row r="67" spans="1:16" ht="15.75" thickBot="1">
      <c r="A67" s="6" t="s">
        <v>3903</v>
      </c>
      <c r="B67" s="10" t="s">
        <v>3904</v>
      </c>
      <c r="C67" s="11" t="s">
        <v>3905</v>
      </c>
      <c r="D67" s="10" t="s">
        <v>2134</v>
      </c>
      <c r="E67" s="38" t="s">
        <v>2162</v>
      </c>
      <c r="F67" s="38" t="s">
        <v>3906</v>
      </c>
      <c r="G67" s="38"/>
      <c r="H67" s="38" t="s">
        <v>2164</v>
      </c>
      <c r="I67" s="38" t="s">
        <v>2124</v>
      </c>
      <c r="J67" s="38"/>
      <c r="K67" s="38"/>
      <c r="L67" s="38" t="s">
        <v>2165</v>
      </c>
      <c r="M67" s="38"/>
      <c r="N67" s="38" t="s">
        <v>1252</v>
      </c>
      <c r="O67" s="10"/>
      <c r="P67" s="11"/>
    </row>
    <row r="68" spans="1:16" ht="25.5" customHeight="1">
      <c r="A68" s="49" t="s">
        <v>3907</v>
      </c>
      <c r="B68" s="49" t="s">
        <v>3908</v>
      </c>
      <c r="C68" s="51" t="s">
        <v>3909</v>
      </c>
      <c r="D68" s="49" t="s">
        <v>2227</v>
      </c>
      <c r="E68" s="47">
        <v>35</v>
      </c>
      <c r="F68" s="47" t="s">
        <v>3910</v>
      </c>
      <c r="G68" s="47"/>
      <c r="H68" s="47" t="s">
        <v>1245</v>
      </c>
      <c r="I68" s="39">
        <v>9.5</v>
      </c>
      <c r="J68" s="47">
        <v>2</v>
      </c>
      <c r="K68" s="47"/>
      <c r="L68" s="47" t="s">
        <v>2130</v>
      </c>
      <c r="M68" s="47">
        <v>1</v>
      </c>
      <c r="N68" s="39" t="s">
        <v>3911</v>
      </c>
      <c r="O68" s="49"/>
      <c r="P68" s="51"/>
    </row>
    <row r="69" spans="1:16" ht="25.5" customHeight="1">
      <c r="A69" s="56"/>
      <c r="B69" s="56"/>
      <c r="C69" s="57"/>
      <c r="D69" s="56"/>
      <c r="E69" s="55"/>
      <c r="F69" s="55"/>
      <c r="G69" s="55"/>
      <c r="H69" s="55"/>
      <c r="I69" s="39">
        <v>5</v>
      </c>
      <c r="J69" s="55"/>
      <c r="K69" s="55"/>
      <c r="L69" s="55"/>
      <c r="M69" s="55"/>
      <c r="N69" s="39" t="s">
        <v>3912</v>
      </c>
      <c r="O69" s="56"/>
      <c r="P69" s="57"/>
    </row>
    <row r="70" spans="1:16" ht="26.25" customHeight="1" thickBot="1">
      <c r="A70" s="50"/>
      <c r="B70" s="50"/>
      <c r="C70" s="52"/>
      <c r="D70" s="50"/>
      <c r="E70" s="48"/>
      <c r="F70" s="48"/>
      <c r="G70" s="48"/>
      <c r="H70" s="48"/>
      <c r="I70" s="40"/>
      <c r="J70" s="48"/>
      <c r="K70" s="48"/>
      <c r="L70" s="48"/>
      <c r="M70" s="48"/>
      <c r="N70" s="38" t="s">
        <v>3913</v>
      </c>
      <c r="O70" s="50"/>
      <c r="P70" s="52"/>
    </row>
    <row r="71" spans="1:16" ht="15.75" thickBot="1">
      <c r="A71" s="6" t="s">
        <v>3914</v>
      </c>
      <c r="B71" s="10" t="s">
        <v>3915</v>
      </c>
      <c r="C71" s="11" t="s">
        <v>3916</v>
      </c>
      <c r="D71" s="10" t="s">
        <v>2134</v>
      </c>
      <c r="E71" s="38" t="s">
        <v>3917</v>
      </c>
      <c r="F71" s="38" t="s">
        <v>3918</v>
      </c>
      <c r="G71" s="38"/>
      <c r="H71" s="38" t="s">
        <v>2129</v>
      </c>
      <c r="I71" s="38" t="s">
        <v>2124</v>
      </c>
      <c r="J71" s="38"/>
      <c r="K71" s="38"/>
      <c r="L71" s="38" t="s">
        <v>2136</v>
      </c>
      <c r="M71" s="38">
        <v>1</v>
      </c>
      <c r="N71" s="38" t="s">
        <v>1252</v>
      </c>
      <c r="O71" s="10"/>
      <c r="P71" s="25" t="str">
        <f>HYPERLINK("http://biade.itrust.de/biade/lpext.dll?f=id&amp;id=biadb%3Ar%3A003180&amp;t=main-h.htm","3180")</f>
        <v>3180</v>
      </c>
    </row>
    <row r="72" spans="1:16" ht="15">
      <c r="A72" s="49" t="s">
        <v>3919</v>
      </c>
      <c r="B72" s="49" t="s">
        <v>1190</v>
      </c>
      <c r="C72" s="51" t="s">
        <v>3920</v>
      </c>
      <c r="D72" s="49" t="s">
        <v>2227</v>
      </c>
      <c r="E72" s="47">
        <v>34</v>
      </c>
      <c r="F72" s="47" t="s">
        <v>3921</v>
      </c>
      <c r="G72" s="47"/>
      <c r="H72" s="47" t="s">
        <v>2129</v>
      </c>
      <c r="I72" s="39">
        <v>5.8</v>
      </c>
      <c r="J72" s="47">
        <v>2</v>
      </c>
      <c r="K72" s="47"/>
      <c r="L72" s="47" t="s">
        <v>2130</v>
      </c>
      <c r="M72" s="47">
        <v>1</v>
      </c>
      <c r="N72" s="47" t="s">
        <v>3792</v>
      </c>
      <c r="O72" s="49"/>
      <c r="P72" s="51"/>
    </row>
    <row r="73" spans="1:16" ht="15.75" thickBot="1">
      <c r="A73" s="50"/>
      <c r="B73" s="50"/>
      <c r="C73" s="52"/>
      <c r="D73" s="50"/>
      <c r="E73" s="48"/>
      <c r="F73" s="48"/>
      <c r="G73" s="48"/>
      <c r="H73" s="48"/>
      <c r="I73" s="38">
        <v>2</v>
      </c>
      <c r="J73" s="48"/>
      <c r="K73" s="48"/>
      <c r="L73" s="48"/>
      <c r="M73" s="48"/>
      <c r="N73" s="48"/>
      <c r="O73" s="50"/>
      <c r="P73" s="52"/>
    </row>
    <row r="74" spans="1:16" ht="15.75" thickBot="1">
      <c r="A74" s="6" t="s">
        <v>3922</v>
      </c>
      <c r="B74" s="10" t="s">
        <v>1189</v>
      </c>
      <c r="C74" s="11" t="s">
        <v>3923</v>
      </c>
      <c r="D74" s="10" t="s">
        <v>2227</v>
      </c>
      <c r="E74" s="38" t="s">
        <v>3866</v>
      </c>
      <c r="F74" s="38" t="s">
        <v>3924</v>
      </c>
      <c r="G74" s="38"/>
      <c r="H74" s="38" t="s">
        <v>2129</v>
      </c>
      <c r="I74" s="38" t="s">
        <v>2124</v>
      </c>
      <c r="J74" s="38"/>
      <c r="K74" s="38"/>
      <c r="L74" s="38" t="s">
        <v>2130</v>
      </c>
      <c r="M74" s="38">
        <v>1</v>
      </c>
      <c r="N74" s="38" t="s">
        <v>3792</v>
      </c>
      <c r="O74" s="10"/>
      <c r="P74" s="25" t="str">
        <f>HYPERLINK("http://biade.itrust.de/biade/lpext.dll?f=id&amp;id=biadb%3Ar%3A024710&amp;t=main-h.htm","24710")</f>
        <v>24710</v>
      </c>
    </row>
    <row r="75" spans="1:16" ht="26.25" thickBot="1">
      <c r="A75" s="6" t="s">
        <v>3925</v>
      </c>
      <c r="B75" s="10" t="s">
        <v>1188</v>
      </c>
      <c r="C75" s="11" t="s">
        <v>3926</v>
      </c>
      <c r="D75" s="10" t="s">
        <v>1229</v>
      </c>
      <c r="E75" s="38" t="s">
        <v>1258</v>
      </c>
      <c r="F75" s="38" t="s">
        <v>3927</v>
      </c>
      <c r="G75" s="38"/>
      <c r="H75" s="38" t="s">
        <v>1245</v>
      </c>
      <c r="I75" s="38" t="s">
        <v>2124</v>
      </c>
      <c r="J75" s="38"/>
      <c r="K75" s="38" t="s">
        <v>2157</v>
      </c>
      <c r="L75" s="38" t="s">
        <v>2165</v>
      </c>
      <c r="M75" s="38"/>
      <c r="N75" s="38"/>
      <c r="O75" s="10"/>
      <c r="P75" s="25" t="str">
        <f>HYPERLINK("http://biade.itrust.de/biade/lpext.dll?f=id&amp;id=biadb%3Ar%3A010320&amp;t=main-h.htm","10320")</f>
        <v>10320</v>
      </c>
    </row>
    <row r="76" spans="1:16" ht="26.25" thickBot="1">
      <c r="A76" s="6" t="s">
        <v>3928</v>
      </c>
      <c r="B76" s="18" t="s">
        <v>1187</v>
      </c>
      <c r="C76" s="11" t="s">
        <v>3929</v>
      </c>
      <c r="D76" s="10" t="s">
        <v>2152</v>
      </c>
      <c r="E76" s="38" t="s">
        <v>3930</v>
      </c>
      <c r="F76" s="38" t="s">
        <v>2154</v>
      </c>
      <c r="G76" s="38" t="s">
        <v>3931</v>
      </c>
      <c r="H76" s="38" t="s">
        <v>1232</v>
      </c>
      <c r="I76" s="38" t="s">
        <v>2124</v>
      </c>
      <c r="J76" s="38"/>
      <c r="K76" s="38" t="s">
        <v>2187</v>
      </c>
      <c r="L76" s="38" t="s">
        <v>2130</v>
      </c>
      <c r="M76" s="38">
        <v>3</v>
      </c>
      <c r="N76" s="38"/>
      <c r="O76" s="10"/>
      <c r="P76" s="25" t="str">
        <f>HYPERLINK("http://biade.itrust.de/biade/lpext.dll?f=id&amp;id=biadb%3Ar%3A016930&amp;t=main-h.htm","16930")</f>
        <v>16930</v>
      </c>
    </row>
    <row r="77" spans="1:16" ht="15.75" thickBot="1">
      <c r="A77" s="6" t="s">
        <v>918</v>
      </c>
      <c r="B77" s="10" t="s">
        <v>2121</v>
      </c>
      <c r="C77" s="11" t="s">
        <v>3932</v>
      </c>
      <c r="D77" s="10" t="s">
        <v>2134</v>
      </c>
      <c r="E77" s="38">
        <v>36</v>
      </c>
      <c r="F77" s="38"/>
      <c r="G77" s="38"/>
      <c r="H77" s="38" t="s">
        <v>2129</v>
      </c>
      <c r="I77" s="38" t="s">
        <v>2124</v>
      </c>
      <c r="J77" s="38"/>
      <c r="K77" s="38"/>
      <c r="L77" s="38" t="s">
        <v>2165</v>
      </c>
      <c r="M77" s="38"/>
      <c r="N77" s="38"/>
      <c r="O77" s="10"/>
      <c r="P77" s="25" t="str">
        <f>HYPERLINK("http://biade.itrust.de/biade/lpext.dll?f=id&amp;id=biadb%3Ar%3A017990&amp;t=main-h.htm","17990")</f>
        <v>17990</v>
      </c>
    </row>
    <row r="78" spans="1:16" ht="15.75" thickBot="1">
      <c r="A78" s="6" t="s">
        <v>919</v>
      </c>
      <c r="B78" s="10" t="s">
        <v>2121</v>
      </c>
      <c r="C78" s="11" t="s">
        <v>3933</v>
      </c>
      <c r="D78" s="10"/>
      <c r="E78" s="38"/>
      <c r="F78" s="38">
        <v>22</v>
      </c>
      <c r="G78" s="38"/>
      <c r="H78" s="38" t="s">
        <v>2123</v>
      </c>
      <c r="I78" s="38" t="s">
        <v>2124</v>
      </c>
      <c r="J78" s="38"/>
      <c r="K78" s="38"/>
      <c r="L78" s="38" t="s">
        <v>2165</v>
      </c>
      <c r="M78" s="38">
        <v>1</v>
      </c>
      <c r="N78" s="38"/>
      <c r="O78" s="10"/>
      <c r="P78" s="25" t="str">
        <f>HYPERLINK("http://biade.itrust.de/biade/lpext.dll?f=id&amp;id=biadb%3Ar%3A018810&amp;t=main-h.htm","18810")</f>
        <v>18810</v>
      </c>
    </row>
    <row r="79" spans="1:16" ht="26.25" thickBot="1">
      <c r="A79" s="6" t="s">
        <v>920</v>
      </c>
      <c r="B79" s="10" t="s">
        <v>2121</v>
      </c>
      <c r="C79" s="11" t="s">
        <v>3934</v>
      </c>
      <c r="D79" s="10" t="s">
        <v>2134</v>
      </c>
      <c r="E79" s="38">
        <v>43</v>
      </c>
      <c r="F79" s="38" t="s">
        <v>3935</v>
      </c>
      <c r="G79" s="38" t="s">
        <v>2184</v>
      </c>
      <c r="H79" s="38" t="s">
        <v>3936</v>
      </c>
      <c r="I79" s="38" t="s">
        <v>2124</v>
      </c>
      <c r="J79" s="38"/>
      <c r="K79" s="38"/>
      <c r="L79" s="38"/>
      <c r="M79" s="38">
        <v>2</v>
      </c>
      <c r="N79" s="38"/>
      <c r="O79" s="10"/>
      <c r="P79" s="25" t="str">
        <f>HYPERLINK("http://biade.itrust.de/biade/lpext.dll?f=id&amp;id=biadb%3Ar%3A034490&amp;t=main-h.htm","34490")</f>
        <v>34490</v>
      </c>
    </row>
    <row r="80" spans="1:16" ht="26.25" thickBot="1">
      <c r="A80" s="6" t="s">
        <v>921</v>
      </c>
      <c r="B80" s="10" t="s">
        <v>1525</v>
      </c>
      <c r="C80" s="11" t="s">
        <v>3937</v>
      </c>
      <c r="D80" s="10" t="s">
        <v>2134</v>
      </c>
      <c r="E80" s="38" t="s">
        <v>3938</v>
      </c>
      <c r="F80" s="38" t="s">
        <v>3939</v>
      </c>
      <c r="G80" s="38" t="s">
        <v>3940</v>
      </c>
      <c r="H80" s="38" t="s">
        <v>2129</v>
      </c>
      <c r="I80" s="38" t="s">
        <v>2124</v>
      </c>
      <c r="J80" s="38"/>
      <c r="K80" s="38"/>
      <c r="L80" s="38" t="s">
        <v>2165</v>
      </c>
      <c r="M80" s="38">
        <v>1</v>
      </c>
      <c r="N80" s="38" t="s">
        <v>1252</v>
      </c>
      <c r="O80" s="10"/>
      <c r="P80" s="25" t="str">
        <f>HYPERLINK("http://biade.itrust.de/biade/lpext.dll?f=id&amp;id=biadb%3Ar%3A019560&amp;t=main-h.htm","19560")</f>
        <v>19560</v>
      </c>
    </row>
    <row r="81" spans="1:16" ht="15">
      <c r="A81" s="49" t="s">
        <v>3941</v>
      </c>
      <c r="B81" s="49" t="s">
        <v>3942</v>
      </c>
      <c r="C81" s="51" t="s">
        <v>3943</v>
      </c>
      <c r="D81" s="49" t="s">
        <v>3795</v>
      </c>
      <c r="E81" s="47" t="s">
        <v>3944</v>
      </c>
      <c r="F81" s="47" t="s">
        <v>3945</v>
      </c>
      <c r="G81" s="47"/>
      <c r="H81" s="47" t="s">
        <v>2129</v>
      </c>
      <c r="I81" s="47" t="s">
        <v>2124</v>
      </c>
      <c r="J81" s="47"/>
      <c r="K81" s="39" t="s">
        <v>3774</v>
      </c>
      <c r="L81" s="47" t="s">
        <v>2130</v>
      </c>
      <c r="M81" s="47">
        <v>1</v>
      </c>
      <c r="N81" s="47" t="s">
        <v>3946</v>
      </c>
      <c r="O81" s="49"/>
      <c r="P81" s="51"/>
    </row>
    <row r="82" spans="1:16" ht="15.75" thickBot="1">
      <c r="A82" s="50"/>
      <c r="B82" s="50"/>
      <c r="C82" s="52"/>
      <c r="D82" s="50"/>
      <c r="E82" s="48"/>
      <c r="F82" s="48"/>
      <c r="G82" s="48"/>
      <c r="H82" s="48"/>
      <c r="I82" s="48"/>
      <c r="J82" s="48"/>
      <c r="K82" s="38" t="s">
        <v>2190</v>
      </c>
      <c r="L82" s="48"/>
      <c r="M82" s="48"/>
      <c r="N82" s="48"/>
      <c r="O82" s="50"/>
      <c r="P82" s="52"/>
    </row>
    <row r="83" spans="1:16" ht="15">
      <c r="A83" s="49" t="s">
        <v>3947</v>
      </c>
      <c r="B83" s="49" t="s">
        <v>3948</v>
      </c>
      <c r="C83" s="51" t="s">
        <v>3949</v>
      </c>
      <c r="D83" s="49" t="s">
        <v>2227</v>
      </c>
      <c r="E83" s="47" t="s">
        <v>3950</v>
      </c>
      <c r="F83" s="47" t="s">
        <v>3884</v>
      </c>
      <c r="G83" s="47" t="s">
        <v>2183</v>
      </c>
      <c r="H83" s="47" t="s">
        <v>2129</v>
      </c>
      <c r="I83" s="39">
        <v>5.1</v>
      </c>
      <c r="J83" s="47">
        <v>2</v>
      </c>
      <c r="K83" s="47"/>
      <c r="L83" s="47" t="s">
        <v>2130</v>
      </c>
      <c r="M83" s="47">
        <v>1</v>
      </c>
      <c r="N83" s="47" t="s">
        <v>3951</v>
      </c>
      <c r="O83" s="49"/>
      <c r="P83" s="51"/>
    </row>
    <row r="84" spans="1:16" ht="15.75" thickBot="1">
      <c r="A84" s="50"/>
      <c r="B84" s="50"/>
      <c r="C84" s="52"/>
      <c r="D84" s="50"/>
      <c r="E84" s="48"/>
      <c r="F84" s="48"/>
      <c r="G84" s="48"/>
      <c r="H84" s="48"/>
      <c r="I84" s="38">
        <v>2</v>
      </c>
      <c r="J84" s="48"/>
      <c r="K84" s="48"/>
      <c r="L84" s="48"/>
      <c r="M84" s="48"/>
      <c r="N84" s="48"/>
      <c r="O84" s="50"/>
      <c r="P84" s="52"/>
    </row>
    <row r="85" spans="1:16" ht="15.75" thickBot="1">
      <c r="A85" s="6" t="s">
        <v>922</v>
      </c>
      <c r="B85" s="10" t="s">
        <v>2121</v>
      </c>
      <c r="C85" s="11" t="s">
        <v>3952</v>
      </c>
      <c r="D85" s="10"/>
      <c r="E85" s="38"/>
      <c r="F85" s="38"/>
      <c r="G85" s="38"/>
      <c r="H85" s="38" t="s">
        <v>2123</v>
      </c>
      <c r="I85" s="38" t="s">
        <v>2124</v>
      </c>
      <c r="J85" s="38"/>
      <c r="K85" s="38"/>
      <c r="L85" s="38" t="s">
        <v>2165</v>
      </c>
      <c r="M85" s="38">
        <v>1</v>
      </c>
      <c r="N85" s="38"/>
      <c r="O85" s="10"/>
      <c r="P85" s="25" t="str">
        <f>HYPERLINK("http://biade.itrust.de/biade/lpext.dll?f=id&amp;id=biadb%3Ar%3A013260&amp;t=main-h.htm","13260")</f>
        <v>13260</v>
      </c>
    </row>
    <row r="86" spans="1:16" ht="15.75" thickBot="1">
      <c r="A86" s="6" t="s">
        <v>3953</v>
      </c>
      <c r="B86" s="10"/>
      <c r="C86" s="11" t="s">
        <v>3954</v>
      </c>
      <c r="D86" s="10" t="s">
        <v>2128</v>
      </c>
      <c r="E86" s="38" t="s">
        <v>3955</v>
      </c>
      <c r="F86" s="38" t="s">
        <v>3956</v>
      </c>
      <c r="G86" s="38" t="s">
        <v>3957</v>
      </c>
      <c r="H86" s="38" t="s">
        <v>1245</v>
      </c>
      <c r="I86" s="38" t="s">
        <v>2124</v>
      </c>
      <c r="J86" s="38"/>
      <c r="K86" s="38"/>
      <c r="L86" s="38" t="s">
        <v>2165</v>
      </c>
      <c r="M86" s="38">
        <v>2</v>
      </c>
      <c r="N86" s="38" t="s">
        <v>3958</v>
      </c>
      <c r="O86" s="10"/>
      <c r="P86" s="25" t="str">
        <f>HYPERLINK("http://biade.itrust.de/biade/lpext.dll?f=id&amp;id=biadb%3Ar%3A025120&amp;t=main-h.htm","25120")</f>
        <v>25120</v>
      </c>
    </row>
    <row r="87" spans="1:16" ht="15.75" thickBot="1">
      <c r="A87" s="6" t="s">
        <v>3959</v>
      </c>
      <c r="B87" s="10"/>
      <c r="C87" s="11" t="s">
        <v>3960</v>
      </c>
      <c r="D87" s="10" t="s">
        <v>3961</v>
      </c>
      <c r="E87" s="38" t="s">
        <v>3962</v>
      </c>
      <c r="F87" s="38" t="s">
        <v>3963</v>
      </c>
      <c r="G87" s="38"/>
      <c r="H87" s="38" t="s">
        <v>2129</v>
      </c>
      <c r="I87" s="38" t="s">
        <v>2124</v>
      </c>
      <c r="J87" s="38"/>
      <c r="K87" s="38"/>
      <c r="L87" s="38" t="s">
        <v>2165</v>
      </c>
      <c r="M87" s="38">
        <v>2</v>
      </c>
      <c r="N87" s="38" t="s">
        <v>2144</v>
      </c>
      <c r="O87" s="10"/>
      <c r="P87" s="25" t="str">
        <f>HYPERLINK("http://biade.itrust.de/biade/lpext.dll?f=id&amp;id=biadb%3Ar%3A510039&amp;t=main-h.htm","510039")</f>
        <v>510039</v>
      </c>
    </row>
    <row r="88" spans="1:16" ht="15.75" thickBot="1">
      <c r="A88" s="6" t="s">
        <v>3964</v>
      </c>
      <c r="B88" s="10"/>
      <c r="C88" s="11" t="s">
        <v>3965</v>
      </c>
      <c r="D88" s="10" t="s">
        <v>3961</v>
      </c>
      <c r="E88" s="38" t="s">
        <v>3966</v>
      </c>
      <c r="F88" s="38" t="s">
        <v>3967</v>
      </c>
      <c r="G88" s="38" t="s">
        <v>3968</v>
      </c>
      <c r="H88" s="38" t="s">
        <v>1245</v>
      </c>
      <c r="I88" s="38" t="s">
        <v>2124</v>
      </c>
      <c r="J88" s="38"/>
      <c r="K88" s="38"/>
      <c r="L88" s="38" t="s">
        <v>2165</v>
      </c>
      <c r="M88" s="38">
        <v>3</v>
      </c>
      <c r="N88" s="38" t="s">
        <v>3969</v>
      </c>
      <c r="O88" s="10"/>
      <c r="P88" s="25" t="str">
        <f>HYPERLINK("http://biade.itrust.de/biade/lpext.dll?f=id&amp;id=biadb%3Ar%3A024730&amp;t=main-h.htm","24730")</f>
        <v>24730</v>
      </c>
    </row>
    <row r="89" spans="1:16" ht="15">
      <c r="A89" s="49" t="s">
        <v>3970</v>
      </c>
      <c r="B89" s="49" t="s">
        <v>3971</v>
      </c>
      <c r="C89" s="51" t="s">
        <v>3972</v>
      </c>
      <c r="D89" s="49" t="s">
        <v>2152</v>
      </c>
      <c r="E89" s="47" t="s">
        <v>3973</v>
      </c>
      <c r="F89" s="47" t="s">
        <v>3974</v>
      </c>
      <c r="G89" s="47"/>
      <c r="H89" s="47" t="s">
        <v>1245</v>
      </c>
      <c r="I89" s="39">
        <v>14</v>
      </c>
      <c r="J89" s="47">
        <v>2</v>
      </c>
      <c r="K89" s="47" t="s">
        <v>3975</v>
      </c>
      <c r="L89" s="47" t="s">
        <v>2202</v>
      </c>
      <c r="M89" s="47">
        <v>2</v>
      </c>
      <c r="N89" s="47"/>
      <c r="O89" s="49"/>
      <c r="P89" s="51"/>
    </row>
    <row r="90" spans="1:16" ht="15.75" thickBot="1">
      <c r="A90" s="50"/>
      <c r="B90" s="50"/>
      <c r="C90" s="52"/>
      <c r="D90" s="50"/>
      <c r="E90" s="48"/>
      <c r="F90" s="48"/>
      <c r="G90" s="48"/>
      <c r="H90" s="48"/>
      <c r="I90" s="38">
        <v>20</v>
      </c>
      <c r="J90" s="48"/>
      <c r="K90" s="48"/>
      <c r="L90" s="48"/>
      <c r="M90" s="48"/>
      <c r="N90" s="48"/>
      <c r="O90" s="50"/>
      <c r="P90" s="52"/>
    </row>
    <row r="91" spans="1:16" ht="15">
      <c r="A91" s="49" t="s">
        <v>3976</v>
      </c>
      <c r="B91" s="49"/>
      <c r="C91" s="51" t="s">
        <v>3977</v>
      </c>
      <c r="D91" s="49" t="s">
        <v>1242</v>
      </c>
      <c r="E91" s="47" t="s">
        <v>3978</v>
      </c>
      <c r="F91" s="47" t="s">
        <v>1244</v>
      </c>
      <c r="G91" s="47"/>
      <c r="H91" s="47" t="s">
        <v>3979</v>
      </c>
      <c r="I91" s="39">
        <v>14</v>
      </c>
      <c r="J91" s="47">
        <v>2</v>
      </c>
      <c r="K91" s="47"/>
      <c r="L91" s="47" t="s">
        <v>2136</v>
      </c>
      <c r="M91" s="47">
        <v>2</v>
      </c>
      <c r="N91" s="39" t="s">
        <v>3980</v>
      </c>
      <c r="O91" s="49"/>
      <c r="P91" s="51"/>
    </row>
    <row r="92" spans="1:16" ht="51.75" customHeight="1" thickBot="1">
      <c r="A92" s="50"/>
      <c r="B92" s="50"/>
      <c r="C92" s="52"/>
      <c r="D92" s="50"/>
      <c r="E92" s="48"/>
      <c r="F92" s="48"/>
      <c r="G92" s="48"/>
      <c r="H92" s="48"/>
      <c r="I92" s="38">
        <v>20</v>
      </c>
      <c r="J92" s="48"/>
      <c r="K92" s="48"/>
      <c r="L92" s="48"/>
      <c r="M92" s="48"/>
      <c r="N92" s="38" t="s">
        <v>3981</v>
      </c>
      <c r="O92" s="50"/>
      <c r="P92" s="52"/>
    </row>
    <row r="93" spans="1:16" ht="15.75" thickBot="1">
      <c r="A93" s="6" t="s">
        <v>980</v>
      </c>
      <c r="B93" s="10" t="s">
        <v>2121</v>
      </c>
      <c r="C93" s="11" t="s">
        <v>3982</v>
      </c>
      <c r="D93" s="10"/>
      <c r="E93" s="38"/>
      <c r="F93" s="38"/>
      <c r="G93" s="38"/>
      <c r="H93" s="38" t="s">
        <v>2123</v>
      </c>
      <c r="I93" s="38" t="s">
        <v>2124</v>
      </c>
      <c r="J93" s="38"/>
      <c r="K93" s="38"/>
      <c r="L93" s="38" t="s">
        <v>2136</v>
      </c>
      <c r="M93" s="38">
        <v>1</v>
      </c>
      <c r="N93" s="38"/>
      <c r="O93" s="10"/>
      <c r="P93" s="25" t="str">
        <f>HYPERLINK("http://biade.itrust.de/biade/lpext.dll?f=id&amp;id=biadb%3Ar%3A002110&amp;t=main-h.htm","2110")</f>
        <v>2110</v>
      </c>
    </row>
    <row r="94" spans="1:16" ht="15.75" thickBot="1">
      <c r="A94" s="6" t="s">
        <v>3983</v>
      </c>
      <c r="B94" s="10" t="s">
        <v>2121</v>
      </c>
      <c r="C94" s="11" t="s">
        <v>3984</v>
      </c>
      <c r="D94" s="10"/>
      <c r="E94" s="38"/>
      <c r="F94" s="38"/>
      <c r="G94" s="38"/>
      <c r="H94" s="38" t="s">
        <v>2123</v>
      </c>
      <c r="I94" s="38" t="s">
        <v>2124</v>
      </c>
      <c r="J94" s="38"/>
      <c r="K94" s="38"/>
      <c r="L94" s="38" t="s">
        <v>2136</v>
      </c>
      <c r="M94" s="38">
        <v>1</v>
      </c>
      <c r="N94" s="38"/>
      <c r="O94" s="10"/>
      <c r="P94" s="25" t="str">
        <f>HYPERLINK("http://biade.itrust.de/biade/lpext.dll?f=id&amp;id=biadb%3Ar%3A491337&amp;t=main-h.htm","491337")</f>
        <v>491337</v>
      </c>
    </row>
    <row r="95" spans="1:16" ht="25.5">
      <c r="A95" s="5" t="s">
        <v>923</v>
      </c>
      <c r="B95" s="49" t="s">
        <v>2121</v>
      </c>
      <c r="C95" s="51" t="s">
        <v>2122</v>
      </c>
      <c r="D95" s="49"/>
      <c r="E95" s="47"/>
      <c r="F95" s="47"/>
      <c r="G95" s="47"/>
      <c r="H95" s="47" t="s">
        <v>2123</v>
      </c>
      <c r="I95" s="47" t="s">
        <v>2124</v>
      </c>
      <c r="J95" s="47"/>
      <c r="K95" s="47"/>
      <c r="L95" s="47" t="s">
        <v>2125</v>
      </c>
      <c r="M95" s="47">
        <v>1</v>
      </c>
      <c r="N95" s="47"/>
      <c r="O95" s="49"/>
      <c r="P95" s="51"/>
    </row>
    <row r="96" spans="1:16" ht="15.75" thickBot="1">
      <c r="A96" s="6" t="s">
        <v>2120</v>
      </c>
      <c r="B96" s="50"/>
      <c r="C96" s="52"/>
      <c r="D96" s="50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50"/>
      <c r="P96" s="52"/>
    </row>
    <row r="97" spans="1:16" ht="15.75" thickBot="1">
      <c r="A97" s="6" t="s">
        <v>2126</v>
      </c>
      <c r="B97" s="10" t="s">
        <v>2121</v>
      </c>
      <c r="C97" s="11" t="s">
        <v>2127</v>
      </c>
      <c r="D97" s="10" t="s">
        <v>2128</v>
      </c>
      <c r="E97" s="38">
        <v>22</v>
      </c>
      <c r="F97" s="38"/>
      <c r="G97" s="38"/>
      <c r="H97" s="38" t="s">
        <v>2129</v>
      </c>
      <c r="I97" s="38" t="s">
        <v>2124</v>
      </c>
      <c r="J97" s="38"/>
      <c r="K97" s="38"/>
      <c r="L97" s="38" t="s">
        <v>2130</v>
      </c>
      <c r="M97" s="38">
        <v>1</v>
      </c>
      <c r="N97" s="38"/>
      <c r="O97" s="10"/>
      <c r="P97" s="11"/>
    </row>
    <row r="98" spans="1:16" ht="15.75" thickBot="1">
      <c r="A98" s="6" t="s">
        <v>2131</v>
      </c>
      <c r="B98" s="10" t="s">
        <v>2132</v>
      </c>
      <c r="C98" s="11" t="s">
        <v>2133</v>
      </c>
      <c r="D98" s="10" t="s">
        <v>2134</v>
      </c>
      <c r="E98" s="38" t="s">
        <v>2135</v>
      </c>
      <c r="F98" s="38">
        <v>26</v>
      </c>
      <c r="G98" s="38"/>
      <c r="H98" s="38" t="s">
        <v>2129</v>
      </c>
      <c r="I98" s="38" t="s">
        <v>2124</v>
      </c>
      <c r="J98" s="38"/>
      <c r="K98" s="38"/>
      <c r="L98" s="38" t="s">
        <v>2136</v>
      </c>
      <c r="M98" s="38">
        <v>1</v>
      </c>
      <c r="N98" s="38"/>
      <c r="O98" s="10"/>
      <c r="P98" s="25" t="str">
        <f>HYPERLINK("http://biade.itrust.de/biade/lpext.dll?f=id&amp;id=biadb%3Ar%3A005970&amp;t=main-h.htm","5970")</f>
        <v>5970</v>
      </c>
    </row>
    <row r="99" spans="1:16" ht="15.75" thickBot="1">
      <c r="A99" s="6" t="s">
        <v>2137</v>
      </c>
      <c r="B99" s="10" t="s">
        <v>2121</v>
      </c>
      <c r="C99" s="11" t="s">
        <v>2138</v>
      </c>
      <c r="D99" s="10" t="s">
        <v>2128</v>
      </c>
      <c r="E99" s="38">
        <v>22</v>
      </c>
      <c r="F99" s="38"/>
      <c r="G99" s="38"/>
      <c r="H99" s="38" t="s">
        <v>2129</v>
      </c>
      <c r="I99" s="38" t="s">
        <v>2124</v>
      </c>
      <c r="J99" s="38"/>
      <c r="K99" s="38"/>
      <c r="L99" s="38" t="s">
        <v>2136</v>
      </c>
      <c r="M99" s="38">
        <v>1</v>
      </c>
      <c r="N99" s="38"/>
      <c r="O99" s="10"/>
      <c r="P99" s="11"/>
    </row>
    <row r="100" spans="1:16" ht="15.75" thickBot="1">
      <c r="A100" s="6" t="s">
        <v>2139</v>
      </c>
      <c r="B100" s="10" t="s">
        <v>2121</v>
      </c>
      <c r="C100" s="11" t="s">
        <v>2140</v>
      </c>
      <c r="D100" s="10" t="s">
        <v>2141</v>
      </c>
      <c r="E100" s="38" t="s">
        <v>2142</v>
      </c>
      <c r="F100" s="38" t="s">
        <v>2143</v>
      </c>
      <c r="G100" s="38"/>
      <c r="H100" s="38" t="s">
        <v>2129</v>
      </c>
      <c r="I100" s="38" t="s">
        <v>2124</v>
      </c>
      <c r="J100" s="38"/>
      <c r="K100" s="38"/>
      <c r="L100" s="38" t="s">
        <v>2136</v>
      </c>
      <c r="M100" s="38">
        <v>1</v>
      </c>
      <c r="N100" s="38" t="s">
        <v>2144</v>
      </c>
      <c r="O100" s="10"/>
      <c r="P100" s="11"/>
    </row>
    <row r="101" spans="1:16" ht="15.75" thickBot="1">
      <c r="A101" s="6" t="s">
        <v>2145</v>
      </c>
      <c r="B101" s="10" t="s">
        <v>2121</v>
      </c>
      <c r="C101" s="11" t="s">
        <v>2146</v>
      </c>
      <c r="D101" s="10"/>
      <c r="E101" s="38"/>
      <c r="F101" s="38"/>
      <c r="G101" s="38"/>
      <c r="H101" s="38" t="s">
        <v>2123</v>
      </c>
      <c r="I101" s="38" t="s">
        <v>2124</v>
      </c>
      <c r="J101" s="38"/>
      <c r="K101" s="38"/>
      <c r="L101" s="38" t="s">
        <v>2136</v>
      </c>
      <c r="M101" s="38">
        <v>1</v>
      </c>
      <c r="N101" s="38"/>
      <c r="O101" s="10"/>
      <c r="P101" s="11"/>
    </row>
    <row r="102" spans="1:16" ht="15.75" thickBot="1">
      <c r="A102" s="6" t="s">
        <v>2147</v>
      </c>
      <c r="B102" s="10"/>
      <c r="C102" s="11" t="s">
        <v>2148</v>
      </c>
      <c r="D102" s="10" t="s">
        <v>2128</v>
      </c>
      <c r="E102" s="38" t="s">
        <v>2149</v>
      </c>
      <c r="F102" s="38">
        <v>22</v>
      </c>
      <c r="G102" s="38"/>
      <c r="H102" s="38" t="s">
        <v>2129</v>
      </c>
      <c r="I102" s="38" t="s">
        <v>2124</v>
      </c>
      <c r="J102" s="38"/>
      <c r="K102" s="38"/>
      <c r="L102" s="38" t="s">
        <v>2136</v>
      </c>
      <c r="M102" s="38">
        <v>1</v>
      </c>
      <c r="N102" s="38" t="s">
        <v>2144</v>
      </c>
      <c r="O102" s="10"/>
      <c r="P102" s="25" t="str">
        <f>HYPERLINK("http://biade.itrust.de/biade/lpext.dll?f=id&amp;id=biadb%3Ar%3A001460&amp;t=main-h.htm","1460")</f>
        <v>1460</v>
      </c>
    </row>
    <row r="103" spans="1:16" ht="15.75" thickBot="1">
      <c r="A103" s="6" t="s">
        <v>2150</v>
      </c>
      <c r="B103" s="10"/>
      <c r="C103" s="11" t="s">
        <v>2151</v>
      </c>
      <c r="D103" s="10" t="s">
        <v>2152</v>
      </c>
      <c r="E103" s="38" t="s">
        <v>2153</v>
      </c>
      <c r="F103" s="38" t="s">
        <v>2154</v>
      </c>
      <c r="G103" s="38" t="s">
        <v>2155</v>
      </c>
      <c r="H103" s="38" t="s">
        <v>2156</v>
      </c>
      <c r="I103" s="38" t="s">
        <v>2124</v>
      </c>
      <c r="J103" s="38"/>
      <c r="K103" s="38" t="s">
        <v>2157</v>
      </c>
      <c r="L103" s="38" t="s">
        <v>2158</v>
      </c>
      <c r="M103" s="38">
        <v>3</v>
      </c>
      <c r="N103" s="38"/>
      <c r="O103" s="10"/>
      <c r="P103" s="25" t="str">
        <f>HYPERLINK("http://biade.itrust.de/biade/lpext.dll?f=id&amp;id=biadb%3Ar%3A122791&amp;t=main-h.htm","122791")</f>
        <v>122791</v>
      </c>
    </row>
    <row r="104" spans="1:16" ht="25.5" customHeight="1">
      <c r="A104" s="13" t="s">
        <v>2159</v>
      </c>
      <c r="B104" s="49"/>
      <c r="C104" s="51" t="s">
        <v>2161</v>
      </c>
      <c r="D104" s="49" t="s">
        <v>2134</v>
      </c>
      <c r="E104" s="47" t="s">
        <v>2162</v>
      </c>
      <c r="F104" s="47" t="s">
        <v>2163</v>
      </c>
      <c r="G104" s="47"/>
      <c r="H104" s="47" t="s">
        <v>2164</v>
      </c>
      <c r="I104" s="47" t="s">
        <v>2124</v>
      </c>
      <c r="J104" s="47"/>
      <c r="K104" s="47"/>
      <c r="L104" s="47" t="s">
        <v>2165</v>
      </c>
      <c r="M104" s="47">
        <v>1</v>
      </c>
      <c r="N104" s="47"/>
      <c r="O104" s="49"/>
      <c r="P104" s="51"/>
    </row>
    <row r="105" spans="1:16" ht="15.75" thickBot="1">
      <c r="A105" s="6" t="s">
        <v>2160</v>
      </c>
      <c r="B105" s="50"/>
      <c r="C105" s="52"/>
      <c r="D105" s="50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50"/>
      <c r="P105" s="52"/>
    </row>
    <row r="106" spans="1:16" ht="26.25" thickBot="1">
      <c r="A106" s="6" t="s">
        <v>2166</v>
      </c>
      <c r="B106" s="10"/>
      <c r="C106" s="11" t="s">
        <v>2167</v>
      </c>
      <c r="D106" s="10" t="s">
        <v>2168</v>
      </c>
      <c r="E106" s="38" t="s">
        <v>2169</v>
      </c>
      <c r="F106" s="38" t="s">
        <v>2154</v>
      </c>
      <c r="G106" s="38" t="s">
        <v>2155</v>
      </c>
      <c r="H106" s="38" t="s">
        <v>2170</v>
      </c>
      <c r="I106" s="38" t="s">
        <v>2124</v>
      </c>
      <c r="J106" s="38"/>
      <c r="K106" s="38" t="s">
        <v>2171</v>
      </c>
      <c r="L106" s="38" t="s">
        <v>2172</v>
      </c>
      <c r="M106" s="38">
        <v>3</v>
      </c>
      <c r="N106" s="38"/>
      <c r="O106" s="10"/>
      <c r="P106" s="25" t="str">
        <f>HYPERLINK("http://biade.itrust.de/biade/lpext.dll?f=id&amp;id=biadb%3Ar%3A005320&amp;t=main-h.htm","5320")</f>
        <v>5320</v>
      </c>
    </row>
    <row r="107" spans="1:16" ht="15.75" thickBot="1">
      <c r="A107" s="6" t="s">
        <v>981</v>
      </c>
      <c r="B107" s="10" t="s">
        <v>2121</v>
      </c>
      <c r="C107" s="11" t="s">
        <v>2173</v>
      </c>
      <c r="D107" s="10"/>
      <c r="E107" s="38"/>
      <c r="F107" s="38"/>
      <c r="G107" s="38"/>
      <c r="H107" s="38" t="s">
        <v>2123</v>
      </c>
      <c r="I107" s="38" t="s">
        <v>2124</v>
      </c>
      <c r="J107" s="38"/>
      <c r="K107" s="38"/>
      <c r="L107" s="38" t="s">
        <v>2136</v>
      </c>
      <c r="M107" s="38">
        <v>1</v>
      </c>
      <c r="N107" s="38"/>
      <c r="O107" s="10"/>
      <c r="P107" s="25" t="str">
        <f>HYPERLINK("http://biade.itrust.de/biade/lpext.dll?f=id&amp;id=biadb%3Ar%3A004830&amp;t=main-h.htm","4830")</f>
        <v>4830</v>
      </c>
    </row>
    <row r="108" spans="1:16" ht="15.75" thickBot="1">
      <c r="A108" s="6" t="s">
        <v>2174</v>
      </c>
      <c r="B108" s="10" t="s">
        <v>2121</v>
      </c>
      <c r="C108" s="11" t="s">
        <v>2175</v>
      </c>
      <c r="D108" s="10"/>
      <c r="E108" s="38"/>
      <c r="F108" s="38"/>
      <c r="G108" s="38"/>
      <c r="H108" s="38" t="s">
        <v>2123</v>
      </c>
      <c r="I108" s="38" t="s">
        <v>2124</v>
      </c>
      <c r="J108" s="38"/>
      <c r="K108" s="38"/>
      <c r="L108" s="38" t="s">
        <v>2125</v>
      </c>
      <c r="M108" s="38">
        <v>1</v>
      </c>
      <c r="N108" s="38"/>
      <c r="O108" s="10"/>
      <c r="P108" s="11"/>
    </row>
    <row r="109" spans="1:16" ht="15">
      <c r="A109" s="5" t="s">
        <v>924</v>
      </c>
      <c r="B109" s="49" t="s">
        <v>2177</v>
      </c>
      <c r="C109" s="51" t="s">
        <v>2178</v>
      </c>
      <c r="D109" s="49" t="s">
        <v>2134</v>
      </c>
      <c r="E109" s="47" t="s">
        <v>2162</v>
      </c>
      <c r="F109" s="47" t="s">
        <v>2163</v>
      </c>
      <c r="G109" s="47"/>
      <c r="H109" s="47" t="s">
        <v>2129</v>
      </c>
      <c r="I109" s="47" t="s">
        <v>2124</v>
      </c>
      <c r="J109" s="47"/>
      <c r="K109" s="47"/>
      <c r="L109" s="47" t="s">
        <v>2136</v>
      </c>
      <c r="M109" s="47">
        <v>1</v>
      </c>
      <c r="N109" s="47"/>
      <c r="O109" s="49"/>
      <c r="P109" s="51"/>
    </row>
    <row r="110" spans="1:16" ht="15.75" thickBot="1">
      <c r="A110" s="6" t="s">
        <v>2176</v>
      </c>
      <c r="B110" s="50"/>
      <c r="C110" s="52"/>
      <c r="D110" s="50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50"/>
      <c r="P110" s="52"/>
    </row>
    <row r="111" spans="1:16" ht="15">
      <c r="A111" s="5" t="s">
        <v>3985</v>
      </c>
      <c r="B111" s="49" t="s">
        <v>2121</v>
      </c>
      <c r="C111" s="51" t="s">
        <v>3986</v>
      </c>
      <c r="D111" s="49" t="s">
        <v>2134</v>
      </c>
      <c r="E111" s="47" t="s">
        <v>2162</v>
      </c>
      <c r="F111" s="47" t="s">
        <v>3987</v>
      </c>
      <c r="G111" s="47"/>
      <c r="H111" s="47" t="s">
        <v>2129</v>
      </c>
      <c r="I111" s="47" t="s">
        <v>2124</v>
      </c>
      <c r="J111" s="47"/>
      <c r="K111" s="47"/>
      <c r="L111" s="47" t="s">
        <v>2136</v>
      </c>
      <c r="M111" s="47">
        <v>1</v>
      </c>
      <c r="N111" s="47"/>
      <c r="O111" s="49"/>
      <c r="P111" s="51"/>
    </row>
    <row r="112" spans="1:16" ht="15.75" thickBot="1">
      <c r="A112" s="6" t="s">
        <v>2120</v>
      </c>
      <c r="B112" s="50"/>
      <c r="C112" s="52"/>
      <c r="D112" s="50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50"/>
      <c r="P112" s="52"/>
    </row>
    <row r="113" spans="1:16" ht="15">
      <c r="A113" s="49" t="s">
        <v>3988</v>
      </c>
      <c r="B113" s="49"/>
      <c r="C113" s="51" t="s">
        <v>3989</v>
      </c>
      <c r="D113" s="49" t="s">
        <v>1229</v>
      </c>
      <c r="E113" s="47" t="s">
        <v>1258</v>
      </c>
      <c r="F113" s="47" t="s">
        <v>3990</v>
      </c>
      <c r="G113" s="47" t="s">
        <v>2183</v>
      </c>
      <c r="H113" s="47" t="s">
        <v>1245</v>
      </c>
      <c r="I113" s="39" t="s">
        <v>3991</v>
      </c>
      <c r="J113" s="47" t="s">
        <v>3992</v>
      </c>
      <c r="K113" s="47" t="s">
        <v>2157</v>
      </c>
      <c r="L113" s="47" t="s">
        <v>2211</v>
      </c>
      <c r="M113" s="47">
        <v>1</v>
      </c>
      <c r="N113" s="47" t="s">
        <v>3993</v>
      </c>
      <c r="O113" s="49"/>
      <c r="P113" s="51"/>
    </row>
    <row r="114" spans="1:16" ht="15.75" thickBot="1">
      <c r="A114" s="50"/>
      <c r="B114" s="50"/>
      <c r="C114" s="52"/>
      <c r="D114" s="50"/>
      <c r="E114" s="48"/>
      <c r="F114" s="48"/>
      <c r="G114" s="48"/>
      <c r="H114" s="48"/>
      <c r="I114" s="38" t="s">
        <v>2124</v>
      </c>
      <c r="J114" s="48"/>
      <c r="K114" s="48"/>
      <c r="L114" s="48"/>
      <c r="M114" s="48"/>
      <c r="N114" s="48"/>
      <c r="O114" s="50"/>
      <c r="P114" s="52"/>
    </row>
    <row r="115" spans="1:16" ht="15.75" thickBot="1">
      <c r="A115" s="6" t="s">
        <v>3994</v>
      </c>
      <c r="B115" s="10" t="s">
        <v>2121</v>
      </c>
      <c r="C115" s="11" t="s">
        <v>3995</v>
      </c>
      <c r="D115" s="10" t="s">
        <v>2134</v>
      </c>
      <c r="E115" s="38" t="s">
        <v>2162</v>
      </c>
      <c r="F115" s="38" t="s">
        <v>2163</v>
      </c>
      <c r="G115" s="38"/>
      <c r="H115" s="38" t="s">
        <v>2129</v>
      </c>
      <c r="I115" s="38" t="s">
        <v>2124</v>
      </c>
      <c r="J115" s="38"/>
      <c r="K115" s="38"/>
      <c r="L115" s="38" t="s">
        <v>2165</v>
      </c>
      <c r="M115" s="38">
        <v>1</v>
      </c>
      <c r="N115" s="38"/>
      <c r="O115" s="10"/>
      <c r="P115" s="25" t="str">
        <f>HYPERLINK("http://biade.itrust.de/biade/lpext.dll?f=id&amp;id=biadb%3Ar%3A040120&amp;t=main-h.htm","40120")</f>
        <v>40120</v>
      </c>
    </row>
    <row r="116" spans="1:16" ht="15">
      <c r="A116" s="5" t="s">
        <v>982</v>
      </c>
      <c r="B116" s="49" t="s">
        <v>3997</v>
      </c>
      <c r="C116" s="51" t="s">
        <v>3998</v>
      </c>
      <c r="D116" s="49" t="s">
        <v>2128</v>
      </c>
      <c r="E116" s="47" t="s">
        <v>3999</v>
      </c>
      <c r="F116" s="47" t="s">
        <v>3987</v>
      </c>
      <c r="G116" s="47"/>
      <c r="H116" s="47" t="s">
        <v>2129</v>
      </c>
      <c r="I116" s="47" t="s">
        <v>2124</v>
      </c>
      <c r="J116" s="47"/>
      <c r="K116" s="47"/>
      <c r="L116" s="47" t="s">
        <v>2136</v>
      </c>
      <c r="M116" s="47"/>
      <c r="N116" s="47"/>
      <c r="O116" s="49"/>
      <c r="P116" s="51"/>
    </row>
    <row r="117" spans="1:16" ht="15.75" thickBot="1">
      <c r="A117" s="6" t="s">
        <v>3996</v>
      </c>
      <c r="B117" s="50"/>
      <c r="C117" s="52"/>
      <c r="D117" s="50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50"/>
      <c r="P117" s="52"/>
    </row>
    <row r="118" spans="1:16" ht="26.25" thickBot="1">
      <c r="A118" s="6" t="s">
        <v>925</v>
      </c>
      <c r="B118" s="10" t="s">
        <v>2121</v>
      </c>
      <c r="C118" s="11" t="s">
        <v>4000</v>
      </c>
      <c r="D118" s="10" t="s">
        <v>2128</v>
      </c>
      <c r="E118" s="38">
        <v>22</v>
      </c>
      <c r="F118" s="38"/>
      <c r="G118" s="38"/>
      <c r="H118" s="38" t="s">
        <v>2164</v>
      </c>
      <c r="I118" s="38" t="s">
        <v>2124</v>
      </c>
      <c r="J118" s="38"/>
      <c r="K118" s="38"/>
      <c r="L118" s="38" t="s">
        <v>2125</v>
      </c>
      <c r="M118" s="38">
        <v>1</v>
      </c>
      <c r="N118" s="38" t="s">
        <v>4001</v>
      </c>
      <c r="O118" s="10"/>
      <c r="P118" s="25" t="str">
        <f>HYPERLINK("http://biade.itrust.de/biade/lpext.dll?f=id&amp;id=biadb%3Ar%3A108420&amp;t=main-h.htm","108420")</f>
        <v>108420</v>
      </c>
    </row>
    <row r="119" spans="1:16" ht="15.75" thickBot="1">
      <c r="A119" s="6" t="s">
        <v>4002</v>
      </c>
      <c r="B119" s="10" t="s">
        <v>2121</v>
      </c>
      <c r="C119" s="11" t="s">
        <v>4003</v>
      </c>
      <c r="D119" s="10"/>
      <c r="E119" s="38"/>
      <c r="F119" s="38"/>
      <c r="G119" s="38"/>
      <c r="H119" s="38" t="s">
        <v>2123</v>
      </c>
      <c r="I119" s="38" t="s">
        <v>2124</v>
      </c>
      <c r="J119" s="38"/>
      <c r="K119" s="38"/>
      <c r="L119" s="38" t="s">
        <v>2136</v>
      </c>
      <c r="M119" s="38">
        <v>1</v>
      </c>
      <c r="N119" s="38"/>
      <c r="O119" s="10"/>
      <c r="P119" s="25" t="str">
        <f>HYPERLINK("http://biade.itrust.de/biade/lpext.dll?f=id&amp;id=biadb%3Ar%3A124880&amp;t=main-h.htm","124880")</f>
        <v>124880</v>
      </c>
    </row>
    <row r="120" spans="1:16" ht="25.5" customHeight="1">
      <c r="A120" s="5" t="s">
        <v>4004</v>
      </c>
      <c r="B120" s="49" t="s">
        <v>2177</v>
      </c>
      <c r="C120" s="51" t="s">
        <v>4006</v>
      </c>
      <c r="D120" s="49" t="s">
        <v>2134</v>
      </c>
      <c r="E120" s="47" t="s">
        <v>2162</v>
      </c>
      <c r="F120" s="47">
        <v>26</v>
      </c>
      <c r="G120" s="47"/>
      <c r="H120" s="47" t="s">
        <v>2129</v>
      </c>
      <c r="I120" s="47" t="s">
        <v>2124</v>
      </c>
      <c r="J120" s="47"/>
      <c r="K120" s="47"/>
      <c r="L120" s="47" t="s">
        <v>2136</v>
      </c>
      <c r="M120" s="47">
        <v>1</v>
      </c>
      <c r="N120" s="47"/>
      <c r="O120" s="49"/>
      <c r="P120" s="51"/>
    </row>
    <row r="121" spans="1:16" ht="15.75" thickBot="1">
      <c r="A121" s="6" t="s">
        <v>4005</v>
      </c>
      <c r="B121" s="50"/>
      <c r="C121" s="52"/>
      <c r="D121" s="50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50"/>
      <c r="P121" s="52"/>
    </row>
    <row r="122" spans="1:16" ht="15.75" thickBot="1">
      <c r="A122" s="6" t="s">
        <v>4007</v>
      </c>
      <c r="B122" s="10" t="s">
        <v>4008</v>
      </c>
      <c r="C122" s="11" t="s">
        <v>4009</v>
      </c>
      <c r="D122" s="10" t="s">
        <v>4010</v>
      </c>
      <c r="E122" s="38" t="s">
        <v>4011</v>
      </c>
      <c r="F122" s="38" t="s">
        <v>3884</v>
      </c>
      <c r="G122" s="38"/>
      <c r="H122" s="38" t="s">
        <v>1224</v>
      </c>
      <c r="I122" s="38" t="s">
        <v>2124</v>
      </c>
      <c r="J122" s="38"/>
      <c r="K122" s="38" t="s">
        <v>2157</v>
      </c>
      <c r="L122" s="38" t="s">
        <v>2136</v>
      </c>
      <c r="M122" s="38">
        <v>3</v>
      </c>
      <c r="N122" s="38" t="s">
        <v>4012</v>
      </c>
      <c r="O122" s="10"/>
      <c r="P122" s="25" t="str">
        <f>HYPERLINK("http://biade.itrust.de/biade/lpext.dll?f=id&amp;id=biadb%3Ar%3A005260&amp;t=main-h.htm","5260")</f>
        <v>5260</v>
      </c>
    </row>
    <row r="123" spans="1:16" ht="25.5" customHeight="1">
      <c r="A123" s="5" t="s">
        <v>4013</v>
      </c>
      <c r="B123" s="49" t="s">
        <v>4008</v>
      </c>
      <c r="C123" s="51" t="s">
        <v>4014</v>
      </c>
      <c r="D123" s="49" t="s">
        <v>1229</v>
      </c>
      <c r="E123" s="47" t="s">
        <v>4015</v>
      </c>
      <c r="F123" s="47" t="s">
        <v>4016</v>
      </c>
      <c r="G123" s="47" t="s">
        <v>4017</v>
      </c>
      <c r="H123" s="47" t="s">
        <v>2185</v>
      </c>
      <c r="I123" s="47" t="s">
        <v>2124</v>
      </c>
      <c r="J123" s="47"/>
      <c r="K123" s="47" t="s">
        <v>2187</v>
      </c>
      <c r="L123" s="47" t="s">
        <v>2136</v>
      </c>
      <c r="M123" s="47"/>
      <c r="N123" s="47"/>
      <c r="O123" s="49"/>
      <c r="P123" s="51"/>
    </row>
    <row r="124" spans="1:16" ht="15.75" thickBot="1">
      <c r="A124" s="6" t="s">
        <v>2176</v>
      </c>
      <c r="B124" s="50"/>
      <c r="C124" s="52"/>
      <c r="D124" s="50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50"/>
      <c r="P124" s="52"/>
    </row>
    <row r="125" spans="1:16" ht="15.75" thickBot="1">
      <c r="A125" s="6" t="s">
        <v>4018</v>
      </c>
      <c r="B125" s="10"/>
      <c r="C125" s="11" t="s">
        <v>4019</v>
      </c>
      <c r="D125" s="10" t="s">
        <v>4020</v>
      </c>
      <c r="E125" s="38" t="s">
        <v>4021</v>
      </c>
      <c r="F125" s="38" t="s">
        <v>4022</v>
      </c>
      <c r="G125" s="38"/>
      <c r="H125" s="38" t="s">
        <v>2129</v>
      </c>
      <c r="I125" s="38" t="s">
        <v>2124</v>
      </c>
      <c r="J125" s="38"/>
      <c r="K125" s="38"/>
      <c r="L125" s="38" t="s">
        <v>2136</v>
      </c>
      <c r="M125" s="38">
        <v>1</v>
      </c>
      <c r="N125" s="38"/>
      <c r="O125" s="10"/>
      <c r="P125" s="25" t="str">
        <f>HYPERLINK("http://biade.itrust.de/biade/lpext.dll?f=id&amp;id=biadb%3Ar%3A003750&amp;t=main-h.htm","3750")</f>
        <v>3750</v>
      </c>
    </row>
    <row r="126" spans="1:16" ht="15.75" thickBot="1">
      <c r="A126" s="6" t="s">
        <v>4023</v>
      </c>
      <c r="B126" s="10" t="s">
        <v>2121</v>
      </c>
      <c r="C126" s="11" t="s">
        <v>4024</v>
      </c>
      <c r="D126" s="10" t="s">
        <v>2128</v>
      </c>
      <c r="E126" s="38" t="s">
        <v>4025</v>
      </c>
      <c r="F126" s="38" t="s">
        <v>4026</v>
      </c>
      <c r="G126" s="38"/>
      <c r="H126" s="38" t="s">
        <v>2129</v>
      </c>
      <c r="I126" s="38" t="s">
        <v>2124</v>
      </c>
      <c r="J126" s="38"/>
      <c r="K126" s="38"/>
      <c r="L126" s="38" t="s">
        <v>2165</v>
      </c>
      <c r="M126" s="38">
        <v>1</v>
      </c>
      <c r="N126" s="38" t="s">
        <v>2144</v>
      </c>
      <c r="O126" s="10"/>
      <c r="P126" s="11"/>
    </row>
    <row r="127" spans="1:16" ht="15.75" thickBot="1">
      <c r="A127" s="6" t="s">
        <v>4027</v>
      </c>
      <c r="B127" s="10" t="s">
        <v>2121</v>
      </c>
      <c r="C127" s="11" t="s">
        <v>4024</v>
      </c>
      <c r="D127" s="10" t="s">
        <v>2128</v>
      </c>
      <c r="E127" s="38" t="s">
        <v>4025</v>
      </c>
      <c r="F127" s="38" t="s">
        <v>4026</v>
      </c>
      <c r="G127" s="38"/>
      <c r="H127" s="38" t="s">
        <v>2129</v>
      </c>
      <c r="I127" s="38" t="s">
        <v>2124</v>
      </c>
      <c r="J127" s="38"/>
      <c r="K127" s="38"/>
      <c r="L127" s="38" t="s">
        <v>2165</v>
      </c>
      <c r="M127" s="38">
        <v>1</v>
      </c>
      <c r="N127" s="38" t="s">
        <v>2144</v>
      </c>
      <c r="O127" s="10"/>
      <c r="P127" s="11"/>
    </row>
    <row r="128" spans="1:16" ht="15.75" thickBot="1">
      <c r="A128" s="6" t="s">
        <v>4028</v>
      </c>
      <c r="B128" s="10"/>
      <c r="C128" s="11" t="s">
        <v>4029</v>
      </c>
      <c r="D128" s="10" t="s">
        <v>4020</v>
      </c>
      <c r="E128" s="38" t="s">
        <v>4030</v>
      </c>
      <c r="F128" s="38" t="s">
        <v>4031</v>
      </c>
      <c r="G128" s="38"/>
      <c r="H128" s="38" t="s">
        <v>2164</v>
      </c>
      <c r="I128" s="38" t="s">
        <v>2124</v>
      </c>
      <c r="J128" s="38"/>
      <c r="K128" s="38"/>
      <c r="L128" s="38" t="s">
        <v>2136</v>
      </c>
      <c r="M128" s="38">
        <v>1</v>
      </c>
      <c r="N128" s="38"/>
      <c r="O128" s="10"/>
      <c r="P128" s="25" t="str">
        <f>HYPERLINK("http://biade.itrust.de/biade/lpext.dll?f=id&amp;id=biadb%3Ar%3A500057&amp;t=main-h.htm","500057")</f>
        <v>500057</v>
      </c>
    </row>
    <row r="129" spans="1:16" ht="15.75" thickBot="1">
      <c r="A129" s="6" t="s">
        <v>4032</v>
      </c>
      <c r="B129" s="10" t="s">
        <v>4033</v>
      </c>
      <c r="C129" s="11" t="s">
        <v>4034</v>
      </c>
      <c r="D129" s="10" t="s">
        <v>2141</v>
      </c>
      <c r="E129" s="38" t="s">
        <v>4035</v>
      </c>
      <c r="F129" s="38" t="s">
        <v>4036</v>
      </c>
      <c r="G129" s="38" t="s">
        <v>2184</v>
      </c>
      <c r="H129" s="38" t="s">
        <v>2129</v>
      </c>
      <c r="I129" s="38" t="s">
        <v>2124</v>
      </c>
      <c r="J129" s="38"/>
      <c r="K129" s="38"/>
      <c r="L129" s="38" t="s">
        <v>2136</v>
      </c>
      <c r="M129" s="38">
        <v>1</v>
      </c>
      <c r="N129" s="38" t="s">
        <v>2144</v>
      </c>
      <c r="O129" s="10"/>
      <c r="P129" s="25" t="str">
        <f>HYPERLINK("http://biade.itrust.de/biade/lpext.dll?f=id&amp;id=biadb%3Ar%3A002310&amp;t=main-h.htm","2310")</f>
        <v>2310</v>
      </c>
    </row>
    <row r="130" spans="1:16" ht="15.75" thickBot="1">
      <c r="A130" s="6" t="s">
        <v>4037</v>
      </c>
      <c r="B130" s="10" t="s">
        <v>2121</v>
      </c>
      <c r="C130" s="11" t="s">
        <v>4038</v>
      </c>
      <c r="D130" s="10"/>
      <c r="E130" s="38"/>
      <c r="F130" s="38"/>
      <c r="G130" s="38"/>
      <c r="H130" s="38" t="s">
        <v>2123</v>
      </c>
      <c r="I130" s="38" t="s">
        <v>2124</v>
      </c>
      <c r="J130" s="38"/>
      <c r="K130" s="38"/>
      <c r="L130" s="38" t="s">
        <v>2125</v>
      </c>
      <c r="M130" s="38">
        <v>1</v>
      </c>
      <c r="N130" s="38"/>
      <c r="O130" s="10"/>
      <c r="P130" s="25" t="str">
        <f>HYPERLINK("http://biade.itrust.de/biade/lpext.dll?f=id&amp;id=biadb%3Ar%3A001470&amp;t=main-h.htm","1470")</f>
        <v>1470</v>
      </c>
    </row>
    <row r="131" spans="1:16" ht="15">
      <c r="A131" s="49" t="s">
        <v>4039</v>
      </c>
      <c r="B131" s="49" t="s">
        <v>2121</v>
      </c>
      <c r="C131" s="51" t="s">
        <v>4040</v>
      </c>
      <c r="D131" s="49" t="s">
        <v>3795</v>
      </c>
      <c r="E131" s="47" t="s">
        <v>4041</v>
      </c>
      <c r="F131" s="47" t="s">
        <v>4042</v>
      </c>
      <c r="G131" s="47"/>
      <c r="H131" s="47" t="s">
        <v>2164</v>
      </c>
      <c r="I131" s="47" t="s">
        <v>2124</v>
      </c>
      <c r="J131" s="47"/>
      <c r="K131" s="42" t="s">
        <v>3774</v>
      </c>
      <c r="L131" s="47" t="s">
        <v>2136</v>
      </c>
      <c r="M131" s="47">
        <v>2</v>
      </c>
      <c r="N131" s="47" t="s">
        <v>4043</v>
      </c>
      <c r="O131" s="49"/>
      <c r="P131" s="51"/>
    </row>
    <row r="132" spans="1:16" ht="15.75" thickBot="1">
      <c r="A132" s="50"/>
      <c r="B132" s="50"/>
      <c r="C132" s="52"/>
      <c r="D132" s="50"/>
      <c r="E132" s="48"/>
      <c r="F132" s="48"/>
      <c r="G132" s="48"/>
      <c r="H132" s="48"/>
      <c r="I132" s="48"/>
      <c r="J132" s="48"/>
      <c r="K132" s="38" t="s">
        <v>2190</v>
      </c>
      <c r="L132" s="48"/>
      <c r="M132" s="48"/>
      <c r="N132" s="48"/>
      <c r="O132" s="50"/>
      <c r="P132" s="52"/>
    </row>
    <row r="133" spans="1:16" ht="15.75" thickBot="1">
      <c r="A133" s="6" t="s">
        <v>4044</v>
      </c>
      <c r="B133" s="10" t="s">
        <v>2177</v>
      </c>
      <c r="C133" s="11" t="s">
        <v>4040</v>
      </c>
      <c r="D133" s="10" t="s">
        <v>2227</v>
      </c>
      <c r="E133" s="38" t="s">
        <v>4045</v>
      </c>
      <c r="F133" s="38" t="s">
        <v>3884</v>
      </c>
      <c r="G133" s="38"/>
      <c r="H133" s="38" t="s">
        <v>2164</v>
      </c>
      <c r="I133" s="38" t="s">
        <v>2124</v>
      </c>
      <c r="J133" s="38"/>
      <c r="K133" s="38" t="s">
        <v>2188</v>
      </c>
      <c r="L133" s="38" t="s">
        <v>2136</v>
      </c>
      <c r="M133" s="38">
        <v>2</v>
      </c>
      <c r="N133" s="38" t="s">
        <v>4046</v>
      </c>
      <c r="O133" s="10"/>
      <c r="P133" s="25" t="str">
        <f>HYPERLINK("http://biade.itrust.de/biade/lpext.dll?f=id&amp;id=biadb%3Ar%3A002550&amp;t=main-h.htm","2550")</f>
        <v>2550</v>
      </c>
    </row>
    <row r="134" spans="1:16" ht="15.75" thickBot="1">
      <c r="A134" s="6" t="s">
        <v>4047</v>
      </c>
      <c r="B134" s="10" t="s">
        <v>2121</v>
      </c>
      <c r="C134" s="11" t="s">
        <v>4048</v>
      </c>
      <c r="D134" s="10"/>
      <c r="E134" s="38"/>
      <c r="F134" s="38"/>
      <c r="G134" s="38"/>
      <c r="H134" s="38" t="s">
        <v>2123</v>
      </c>
      <c r="I134" s="38" t="s">
        <v>2124</v>
      </c>
      <c r="J134" s="38"/>
      <c r="K134" s="38"/>
      <c r="L134" s="38" t="s">
        <v>2136</v>
      </c>
      <c r="M134" s="38"/>
      <c r="N134" s="38" t="s">
        <v>3131</v>
      </c>
      <c r="O134" s="10"/>
      <c r="P134" s="11"/>
    </row>
    <row r="135" spans="1:16" ht="15.75" thickBot="1">
      <c r="A135" s="6" t="s">
        <v>4049</v>
      </c>
      <c r="B135" s="10"/>
      <c r="C135" s="11" t="s">
        <v>4050</v>
      </c>
      <c r="D135" s="10" t="s">
        <v>2128</v>
      </c>
      <c r="E135" s="38" t="s">
        <v>4051</v>
      </c>
      <c r="F135" s="38">
        <v>13</v>
      </c>
      <c r="G135" s="38"/>
      <c r="H135" s="38" t="s">
        <v>2129</v>
      </c>
      <c r="I135" s="38" t="s">
        <v>2124</v>
      </c>
      <c r="J135" s="38"/>
      <c r="K135" s="38"/>
      <c r="L135" s="38" t="s">
        <v>2136</v>
      </c>
      <c r="M135" s="38">
        <v>1</v>
      </c>
      <c r="N135" s="38" t="s">
        <v>2144</v>
      </c>
      <c r="O135" s="10"/>
      <c r="P135" s="25" t="str">
        <f>HYPERLINK("http://biade.itrust.de/biade/lpext.dll?f=id&amp;id=biadb%3Ar%3A003390&amp;t=main-h.htm","3390")</f>
        <v>3390</v>
      </c>
    </row>
    <row r="136" spans="1:16" ht="15.75" thickBot="1">
      <c r="A136" s="6" t="s">
        <v>4052</v>
      </c>
      <c r="B136" s="10" t="s">
        <v>2121</v>
      </c>
      <c r="C136" s="11" t="s">
        <v>4053</v>
      </c>
      <c r="D136" s="10"/>
      <c r="E136" s="38"/>
      <c r="F136" s="38"/>
      <c r="G136" s="38"/>
      <c r="H136" s="38" t="s">
        <v>2123</v>
      </c>
      <c r="I136" s="38" t="s">
        <v>2124</v>
      </c>
      <c r="J136" s="38"/>
      <c r="K136" s="38"/>
      <c r="L136" s="38" t="s">
        <v>2136</v>
      </c>
      <c r="M136" s="38">
        <v>1</v>
      </c>
      <c r="N136" s="38"/>
      <c r="O136" s="10"/>
      <c r="P136" s="25" t="str">
        <f>HYPERLINK("http://biade.itrust.de/biade/lpext.dll?f=id&amp;id=biadb%3Ar%3A003650&amp;t=main-h.htm","3650")</f>
        <v>3650</v>
      </c>
    </row>
    <row r="137" spans="1:16" ht="15.75" thickBot="1">
      <c r="A137" s="6" t="s">
        <v>4054</v>
      </c>
      <c r="B137" s="10"/>
      <c r="C137" s="11" t="s">
        <v>4055</v>
      </c>
      <c r="D137" s="10" t="s">
        <v>2128</v>
      </c>
      <c r="E137" s="38">
        <v>22</v>
      </c>
      <c r="F137" s="38" t="s">
        <v>3906</v>
      </c>
      <c r="G137" s="38"/>
      <c r="H137" s="38" t="s">
        <v>2129</v>
      </c>
      <c r="I137" s="38" t="s">
        <v>2124</v>
      </c>
      <c r="J137" s="38"/>
      <c r="K137" s="38"/>
      <c r="L137" s="38" t="s">
        <v>2165</v>
      </c>
      <c r="M137" s="38">
        <v>1</v>
      </c>
      <c r="N137" s="38" t="s">
        <v>2144</v>
      </c>
      <c r="O137" s="10"/>
      <c r="P137" s="11"/>
    </row>
    <row r="138" spans="1:16" ht="15.75" thickBot="1">
      <c r="A138" s="6" t="s">
        <v>4056</v>
      </c>
      <c r="B138" s="10"/>
      <c r="C138" s="11" t="s">
        <v>4057</v>
      </c>
      <c r="D138" s="10" t="s">
        <v>2128</v>
      </c>
      <c r="E138" s="38">
        <v>42</v>
      </c>
      <c r="F138" s="38" t="s">
        <v>4058</v>
      </c>
      <c r="G138" s="38" t="s">
        <v>2184</v>
      </c>
      <c r="H138" s="38" t="s">
        <v>2164</v>
      </c>
      <c r="I138" s="38" t="s">
        <v>2124</v>
      </c>
      <c r="J138" s="38"/>
      <c r="K138" s="38"/>
      <c r="L138" s="38" t="s">
        <v>2165</v>
      </c>
      <c r="M138" s="38">
        <v>1</v>
      </c>
      <c r="N138" s="38"/>
      <c r="O138" s="10"/>
      <c r="P138" s="25" t="str">
        <f>HYPERLINK("http://biade.itrust.de/biade/lpext.dll?f=id&amp;id=biadb%3Ar%3A123116&amp;t=main-h.htm","123116")</f>
        <v>123116</v>
      </c>
    </row>
    <row r="139" spans="1:16" ht="22.5" customHeight="1">
      <c r="A139" s="49" t="s">
        <v>4059</v>
      </c>
      <c r="B139" s="49" t="s">
        <v>4060</v>
      </c>
      <c r="C139" s="51" t="s">
        <v>4061</v>
      </c>
      <c r="D139" s="49" t="s">
        <v>2152</v>
      </c>
      <c r="E139" s="47" t="s">
        <v>4062</v>
      </c>
      <c r="F139" s="47" t="s">
        <v>4063</v>
      </c>
      <c r="G139" s="47" t="s">
        <v>4064</v>
      </c>
      <c r="H139" s="47" t="s">
        <v>1245</v>
      </c>
      <c r="I139" s="39">
        <v>7.7</v>
      </c>
      <c r="J139" s="47">
        <v>2</v>
      </c>
      <c r="K139" s="47"/>
      <c r="L139" s="47" t="s">
        <v>2130</v>
      </c>
      <c r="M139" s="47">
        <v>2</v>
      </c>
      <c r="N139" s="47"/>
      <c r="O139" s="49"/>
      <c r="P139" s="51"/>
    </row>
    <row r="140" spans="1:16" ht="15.75" thickBot="1">
      <c r="A140" s="50"/>
      <c r="B140" s="50"/>
      <c r="C140" s="52"/>
      <c r="D140" s="50"/>
      <c r="E140" s="48"/>
      <c r="F140" s="48"/>
      <c r="G140" s="48"/>
      <c r="H140" s="48"/>
      <c r="I140" s="38">
        <v>2</v>
      </c>
      <c r="J140" s="48"/>
      <c r="K140" s="48"/>
      <c r="L140" s="48"/>
      <c r="M140" s="48"/>
      <c r="N140" s="48"/>
      <c r="O140" s="50"/>
      <c r="P140" s="52"/>
    </row>
    <row r="141" spans="1:16" ht="15.75" thickBot="1">
      <c r="A141" s="6" t="s">
        <v>4065</v>
      </c>
      <c r="B141" s="10" t="s">
        <v>4008</v>
      </c>
      <c r="C141" s="11" t="s">
        <v>4066</v>
      </c>
      <c r="D141" s="10" t="s">
        <v>2134</v>
      </c>
      <c r="E141" s="38" t="s">
        <v>2162</v>
      </c>
      <c r="F141" s="38" t="s">
        <v>2163</v>
      </c>
      <c r="G141" s="38"/>
      <c r="H141" s="38" t="s">
        <v>2164</v>
      </c>
      <c r="I141" s="38" t="s">
        <v>2124</v>
      </c>
      <c r="J141" s="38"/>
      <c r="K141" s="38"/>
      <c r="L141" s="38" t="s">
        <v>2125</v>
      </c>
      <c r="M141" s="38">
        <v>3</v>
      </c>
      <c r="N141" s="38"/>
      <c r="O141" s="10"/>
      <c r="P141" s="11"/>
    </row>
    <row r="142" spans="1:16" ht="15.75" thickBot="1">
      <c r="A142" s="6" t="s">
        <v>4067</v>
      </c>
      <c r="B142" s="10"/>
      <c r="C142" s="11" t="s">
        <v>4068</v>
      </c>
      <c r="D142" s="10" t="s">
        <v>2152</v>
      </c>
      <c r="E142" s="38" t="s">
        <v>4062</v>
      </c>
      <c r="F142" s="38" t="s">
        <v>4063</v>
      </c>
      <c r="G142" s="38" t="s">
        <v>4064</v>
      </c>
      <c r="H142" s="38" t="s">
        <v>1245</v>
      </c>
      <c r="I142" s="38" t="s">
        <v>2124</v>
      </c>
      <c r="J142" s="38"/>
      <c r="K142" s="38" t="s">
        <v>2157</v>
      </c>
      <c r="L142" s="38" t="s">
        <v>2165</v>
      </c>
      <c r="M142" s="38">
        <v>2</v>
      </c>
      <c r="N142" s="38"/>
      <c r="O142" s="10"/>
      <c r="P142" s="25" t="str">
        <f>HYPERLINK("http://biade.itrust.de/biade/lpext.dll?f=id&amp;id=biadb%3Ar%3A026690&amp;t=main-h.htm","26690")</f>
        <v>26690</v>
      </c>
    </row>
    <row r="143" spans="1:16" ht="15.75" thickBot="1">
      <c r="A143" s="6" t="s">
        <v>4069</v>
      </c>
      <c r="B143" s="10" t="s">
        <v>2121</v>
      </c>
      <c r="C143" s="11" t="s">
        <v>4070</v>
      </c>
      <c r="D143" s="10" t="s">
        <v>4071</v>
      </c>
      <c r="E143" s="38" t="s">
        <v>4072</v>
      </c>
      <c r="F143" s="38" t="s">
        <v>4073</v>
      </c>
      <c r="G143" s="38" t="s">
        <v>4074</v>
      </c>
      <c r="H143" s="38" t="s">
        <v>1245</v>
      </c>
      <c r="I143" s="38" t="s">
        <v>2124</v>
      </c>
      <c r="J143" s="38"/>
      <c r="K143" s="38" t="s">
        <v>1239</v>
      </c>
      <c r="L143" s="38" t="s">
        <v>2130</v>
      </c>
      <c r="M143" s="38">
        <v>1</v>
      </c>
      <c r="N143" s="38"/>
      <c r="O143" s="10"/>
      <c r="P143" s="11"/>
    </row>
    <row r="144" spans="1:16" ht="15.75" thickBot="1">
      <c r="A144" s="6" t="s">
        <v>4075</v>
      </c>
      <c r="B144" s="10"/>
      <c r="C144" s="11" t="s">
        <v>4076</v>
      </c>
      <c r="D144" s="10" t="s">
        <v>2152</v>
      </c>
      <c r="E144" s="38" t="s">
        <v>4062</v>
      </c>
      <c r="F144" s="38" t="s">
        <v>4077</v>
      </c>
      <c r="G144" s="38" t="s">
        <v>4078</v>
      </c>
      <c r="H144" s="38" t="s">
        <v>3220</v>
      </c>
      <c r="I144" s="38" t="s">
        <v>2124</v>
      </c>
      <c r="J144" s="38"/>
      <c r="K144" s="38" t="s">
        <v>2157</v>
      </c>
      <c r="L144" s="38" t="s">
        <v>2130</v>
      </c>
      <c r="M144" s="38"/>
      <c r="N144" s="38"/>
      <c r="O144" s="10"/>
      <c r="P144" s="25" t="str">
        <f>HYPERLINK("http://biade.itrust.de/biade/lpext.dll?f=id&amp;id=biadb%3Ar%3A496452&amp;t=main-h.htm","496452")</f>
        <v>496452</v>
      </c>
    </row>
    <row r="145" spans="1:16" ht="15">
      <c r="A145" s="49" t="s">
        <v>4079</v>
      </c>
      <c r="B145" s="7" t="s">
        <v>1186</v>
      </c>
      <c r="C145" s="51" t="s">
        <v>4080</v>
      </c>
      <c r="D145" s="49"/>
      <c r="E145" s="47">
        <v>10</v>
      </c>
      <c r="F145" s="47" t="s">
        <v>4081</v>
      </c>
      <c r="G145" s="47"/>
      <c r="H145" s="47" t="s">
        <v>502</v>
      </c>
      <c r="I145" s="47" t="s">
        <v>2124</v>
      </c>
      <c r="J145" s="47"/>
      <c r="K145" s="39" t="s">
        <v>3774</v>
      </c>
      <c r="L145" s="47" t="s">
        <v>2165</v>
      </c>
      <c r="M145" s="47">
        <v>2</v>
      </c>
      <c r="N145" s="47"/>
      <c r="O145" s="49"/>
      <c r="P145" s="51"/>
    </row>
    <row r="146" spans="1:16" ht="15.75" thickBot="1">
      <c r="A146" s="50"/>
      <c r="B146" s="10" t="s">
        <v>2121</v>
      </c>
      <c r="C146" s="52"/>
      <c r="D146" s="50"/>
      <c r="E146" s="48"/>
      <c r="F146" s="48"/>
      <c r="G146" s="48"/>
      <c r="H146" s="48"/>
      <c r="I146" s="48"/>
      <c r="J146" s="48"/>
      <c r="K146" s="38" t="s">
        <v>2190</v>
      </c>
      <c r="L146" s="48"/>
      <c r="M146" s="48"/>
      <c r="N146" s="48"/>
      <c r="O146" s="50"/>
      <c r="P146" s="52"/>
    </row>
    <row r="147" spans="1:16" ht="15.75" thickBot="1">
      <c r="A147" s="6" t="s">
        <v>4082</v>
      </c>
      <c r="B147" s="10" t="s">
        <v>2132</v>
      </c>
      <c r="C147" s="11" t="s">
        <v>4083</v>
      </c>
      <c r="D147" s="10" t="s">
        <v>2128</v>
      </c>
      <c r="E147" s="38" t="s">
        <v>4084</v>
      </c>
      <c r="F147" s="38" t="s">
        <v>4036</v>
      </c>
      <c r="G147" s="38"/>
      <c r="H147" s="38" t="s">
        <v>2129</v>
      </c>
      <c r="I147" s="38" t="s">
        <v>2124</v>
      </c>
      <c r="J147" s="38"/>
      <c r="K147" s="38"/>
      <c r="L147" s="38" t="s">
        <v>2165</v>
      </c>
      <c r="M147" s="38">
        <v>2</v>
      </c>
      <c r="N147" s="38"/>
      <c r="O147" s="10"/>
      <c r="P147" s="25" t="str">
        <f>HYPERLINK("http://biade.itrust.de/biade/lpext.dll?f=id&amp;id=biadb%3Ar%3A022880&amp;t=main-h.htm","22880")</f>
        <v>22880</v>
      </c>
    </row>
    <row r="148" spans="1:16" ht="15.75" thickBot="1">
      <c r="A148" s="6" t="s">
        <v>4085</v>
      </c>
      <c r="B148" s="10" t="s">
        <v>4086</v>
      </c>
      <c r="C148" s="11" t="s">
        <v>4087</v>
      </c>
      <c r="D148" s="10"/>
      <c r="E148" s="38"/>
      <c r="F148" s="38"/>
      <c r="G148" s="38"/>
      <c r="H148" s="38" t="s">
        <v>2123</v>
      </c>
      <c r="I148" s="38" t="s">
        <v>2124</v>
      </c>
      <c r="J148" s="38"/>
      <c r="K148" s="38"/>
      <c r="L148" s="38" t="s">
        <v>2165</v>
      </c>
      <c r="M148" s="38">
        <v>1</v>
      </c>
      <c r="N148" s="38"/>
      <c r="O148" s="10"/>
      <c r="P148" s="25" t="str">
        <f>HYPERLINK("http://biade.itrust.de/biade/lpext.dll?f=id&amp;id=biadb%3Ar%3A028300&amp;t=main-h.htm","28300")</f>
        <v>28300</v>
      </c>
    </row>
    <row r="149" spans="1:16" ht="15">
      <c r="A149" s="5" t="s">
        <v>4088</v>
      </c>
      <c r="B149" s="49" t="s">
        <v>4090</v>
      </c>
      <c r="C149" s="51" t="s">
        <v>4091</v>
      </c>
      <c r="D149" s="49"/>
      <c r="E149" s="47"/>
      <c r="F149" s="47"/>
      <c r="G149" s="47"/>
      <c r="H149" s="47" t="s">
        <v>2123</v>
      </c>
      <c r="I149" s="47" t="s">
        <v>2124</v>
      </c>
      <c r="J149" s="47"/>
      <c r="K149" s="47"/>
      <c r="L149" s="47" t="s">
        <v>2130</v>
      </c>
      <c r="M149" s="47">
        <v>1</v>
      </c>
      <c r="N149" s="47"/>
      <c r="O149" s="49"/>
      <c r="P149" s="51"/>
    </row>
    <row r="150" spans="1:16" ht="15.75" thickBot="1">
      <c r="A150" s="6" t="s">
        <v>4089</v>
      </c>
      <c r="B150" s="50"/>
      <c r="C150" s="52"/>
      <c r="D150" s="50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50"/>
      <c r="P150" s="52"/>
    </row>
    <row r="151" spans="1:16" ht="26.25" thickBot="1">
      <c r="A151" s="6" t="s">
        <v>4092</v>
      </c>
      <c r="B151" s="10" t="s">
        <v>1185</v>
      </c>
      <c r="C151" s="11" t="s">
        <v>4093</v>
      </c>
      <c r="D151" s="10"/>
      <c r="E151" s="38"/>
      <c r="F151" s="38"/>
      <c r="G151" s="38"/>
      <c r="H151" s="38" t="s">
        <v>2123</v>
      </c>
      <c r="I151" s="38" t="s">
        <v>2124</v>
      </c>
      <c r="J151" s="38"/>
      <c r="K151" s="38"/>
      <c r="L151" s="38" t="s">
        <v>2165</v>
      </c>
      <c r="M151" s="38">
        <v>2</v>
      </c>
      <c r="N151" s="38"/>
      <c r="O151" s="10"/>
      <c r="P151" s="11"/>
    </row>
    <row r="152" spans="1:16" ht="15.75" thickBot="1">
      <c r="A152" s="6" t="s">
        <v>4094</v>
      </c>
      <c r="B152" s="10" t="s">
        <v>2121</v>
      </c>
      <c r="C152" s="11" t="s">
        <v>4095</v>
      </c>
      <c r="D152" s="10" t="s">
        <v>2134</v>
      </c>
      <c r="E152" s="38">
        <v>37</v>
      </c>
      <c r="F152" s="38" t="s">
        <v>3856</v>
      </c>
      <c r="G152" s="38"/>
      <c r="H152" s="38" t="s">
        <v>2164</v>
      </c>
      <c r="I152" s="38" t="s">
        <v>2124</v>
      </c>
      <c r="J152" s="38"/>
      <c r="K152" s="38"/>
      <c r="L152" s="38" t="s">
        <v>2136</v>
      </c>
      <c r="M152" s="38">
        <v>1</v>
      </c>
      <c r="N152" s="38"/>
      <c r="O152" s="10"/>
      <c r="P152" s="25" t="str">
        <f>HYPERLINK("http://biade.itrust.de/biade/lpext.dll?f=id&amp;id=biadb%3Ar%3A008390&amp;t=main-h.htm","8390")</f>
        <v>8390</v>
      </c>
    </row>
    <row r="153" spans="1:16" ht="15.75" thickBot="1">
      <c r="A153" s="6" t="s">
        <v>4096</v>
      </c>
      <c r="B153" s="10" t="s">
        <v>2121</v>
      </c>
      <c r="C153" s="11" t="s">
        <v>4097</v>
      </c>
      <c r="D153" s="10" t="s">
        <v>1242</v>
      </c>
      <c r="E153" s="38" t="s">
        <v>4098</v>
      </c>
      <c r="F153" s="38" t="s">
        <v>4099</v>
      </c>
      <c r="G153" s="38"/>
      <c r="H153" s="38" t="s">
        <v>2164</v>
      </c>
      <c r="I153" s="38" t="s">
        <v>2124</v>
      </c>
      <c r="J153" s="38"/>
      <c r="K153" s="38" t="s">
        <v>2188</v>
      </c>
      <c r="L153" s="38" t="s">
        <v>2136</v>
      </c>
      <c r="M153" s="38">
        <v>2</v>
      </c>
      <c r="N153" s="38" t="s">
        <v>4043</v>
      </c>
      <c r="O153" s="10"/>
      <c r="P153" s="25" t="str">
        <f>HYPERLINK("http://biade.itrust.de/biade/lpext.dll?f=id&amp;id=biadb%3Ar%3A500001&amp;t=main-h.htm","500001")</f>
        <v>500001</v>
      </c>
    </row>
    <row r="154" spans="1:16" ht="15.75" thickBot="1">
      <c r="A154" s="6" t="s">
        <v>4100</v>
      </c>
      <c r="B154" s="10" t="s">
        <v>2121</v>
      </c>
      <c r="C154" s="11" t="s">
        <v>4101</v>
      </c>
      <c r="D154" s="10" t="s">
        <v>2128</v>
      </c>
      <c r="E154" s="38">
        <v>40</v>
      </c>
      <c r="F154" s="38" t="s">
        <v>4102</v>
      </c>
      <c r="G154" s="38" t="s">
        <v>2181</v>
      </c>
      <c r="H154" s="38" t="s">
        <v>3220</v>
      </c>
      <c r="I154" s="38" t="s">
        <v>2124</v>
      </c>
      <c r="J154" s="38"/>
      <c r="K154" s="38"/>
      <c r="L154" s="38" t="s">
        <v>2136</v>
      </c>
      <c r="M154" s="38">
        <v>1</v>
      </c>
      <c r="N154" s="38"/>
      <c r="O154" s="10"/>
      <c r="P154" s="25" t="str">
        <f>HYPERLINK("http://biade.itrust.de/biade/lpext.dll?f=id&amp;id=biadb%3Ar%3A003440&amp;t=main-h.htm","3440")</f>
        <v>3440</v>
      </c>
    </row>
    <row r="155" spans="1:16" ht="15.75" thickBot="1">
      <c r="A155" s="6" t="s">
        <v>4103</v>
      </c>
      <c r="B155" s="10" t="s">
        <v>4104</v>
      </c>
      <c r="C155" s="11" t="s">
        <v>4105</v>
      </c>
      <c r="D155" s="10" t="s">
        <v>1242</v>
      </c>
      <c r="E155" s="38" t="s">
        <v>4098</v>
      </c>
      <c r="F155" s="38" t="s">
        <v>4099</v>
      </c>
      <c r="G155" s="38"/>
      <c r="H155" s="38" t="s">
        <v>2164</v>
      </c>
      <c r="I155" s="38" t="s">
        <v>2124</v>
      </c>
      <c r="J155" s="38"/>
      <c r="K155" s="38"/>
      <c r="L155" s="38" t="s">
        <v>2136</v>
      </c>
      <c r="M155" s="38">
        <v>3</v>
      </c>
      <c r="N155" s="38" t="s">
        <v>4106</v>
      </c>
      <c r="O155" s="10"/>
      <c r="P155" s="25" t="str">
        <f>HYPERLINK("http://biade.itrust.de/biade/lpext.dll?f=id&amp;id=biadb%3Ar%3A004650&amp;t=main-h.htm","4650")</f>
        <v>4650</v>
      </c>
    </row>
    <row r="156" spans="1:16" ht="15.75" thickBot="1">
      <c r="A156" s="6" t="s">
        <v>4107</v>
      </c>
      <c r="B156" s="10" t="s">
        <v>2132</v>
      </c>
      <c r="C156" s="11" t="s">
        <v>4108</v>
      </c>
      <c r="D156" s="10" t="s">
        <v>3961</v>
      </c>
      <c r="E156" s="38" t="s">
        <v>3962</v>
      </c>
      <c r="F156" s="38">
        <v>61</v>
      </c>
      <c r="G156" s="38"/>
      <c r="H156" s="38" t="s">
        <v>2164</v>
      </c>
      <c r="I156" s="38" t="s">
        <v>2124</v>
      </c>
      <c r="J156" s="38"/>
      <c r="K156" s="38"/>
      <c r="L156" s="38" t="s">
        <v>2136</v>
      </c>
      <c r="M156" s="38">
        <v>3</v>
      </c>
      <c r="N156" s="38"/>
      <c r="O156" s="10"/>
      <c r="P156" s="25" t="str">
        <f>HYPERLINK("http://biade.itrust.de/biade/lpext.dll?f=id&amp;id=biadb%3Ar%3A004590&amp;t=main-h.htm","4590")</f>
        <v>4590</v>
      </c>
    </row>
    <row r="157" spans="1:16" ht="15.75" thickBot="1">
      <c r="A157" s="6" t="s">
        <v>4109</v>
      </c>
      <c r="B157" s="10" t="s">
        <v>4008</v>
      </c>
      <c r="C157" s="11" t="s">
        <v>4110</v>
      </c>
      <c r="D157" s="10" t="s">
        <v>3859</v>
      </c>
      <c r="E157" s="38">
        <v>11</v>
      </c>
      <c r="F157" s="38"/>
      <c r="G157" s="38"/>
      <c r="H157" s="38" t="s">
        <v>2164</v>
      </c>
      <c r="I157" s="38" t="s">
        <v>2124</v>
      </c>
      <c r="J157" s="38"/>
      <c r="K157" s="38"/>
      <c r="L157" s="38" t="s">
        <v>2136</v>
      </c>
      <c r="M157" s="38"/>
      <c r="N157" s="38"/>
      <c r="O157" s="10"/>
      <c r="P157" s="25" t="str">
        <f>HYPERLINK("http://biade.itrust.de/biade/lpext.dll?f=id&amp;id=biadb%3Ar%3A002170&amp;t=main-h.htm","2170")</f>
        <v>2170</v>
      </c>
    </row>
    <row r="158" spans="1:16" ht="15.75" thickBot="1">
      <c r="A158" s="6" t="s">
        <v>4111</v>
      </c>
      <c r="B158" s="10" t="s">
        <v>2121</v>
      </c>
      <c r="C158" s="11" t="s">
        <v>4112</v>
      </c>
      <c r="D158" s="10"/>
      <c r="E158" s="38"/>
      <c r="F158" s="38"/>
      <c r="G158" s="38"/>
      <c r="H158" s="38" t="s">
        <v>2123</v>
      </c>
      <c r="I158" s="38" t="s">
        <v>2124</v>
      </c>
      <c r="J158" s="38"/>
      <c r="K158" s="38"/>
      <c r="L158" s="38" t="s">
        <v>2125</v>
      </c>
      <c r="M158" s="38"/>
      <c r="N158" s="38"/>
      <c r="O158" s="10"/>
      <c r="P158" s="11"/>
    </row>
    <row r="159" spans="1:16" ht="15.75" thickBot="1">
      <c r="A159" s="6" t="s">
        <v>4113</v>
      </c>
      <c r="B159" s="10" t="s">
        <v>2121</v>
      </c>
      <c r="C159" s="11" t="s">
        <v>4114</v>
      </c>
      <c r="D159" s="10" t="s">
        <v>2134</v>
      </c>
      <c r="E159" s="38">
        <v>36</v>
      </c>
      <c r="F159" s="38">
        <v>26</v>
      </c>
      <c r="G159" s="38"/>
      <c r="H159" s="38" t="s">
        <v>2164</v>
      </c>
      <c r="I159" s="38" t="s">
        <v>2124</v>
      </c>
      <c r="J159" s="38"/>
      <c r="K159" s="38"/>
      <c r="L159" s="38" t="s">
        <v>2165</v>
      </c>
      <c r="M159" s="38" t="s">
        <v>2221</v>
      </c>
      <c r="N159" s="38" t="s">
        <v>1252</v>
      </c>
      <c r="O159" s="10"/>
      <c r="P159" s="25" t="str">
        <f>HYPERLINK("http://biade.itrust.de/biade/lpext.dll?f=id&amp;id=biadb%3Ar%3A100469&amp;t=main-h.htm","100469")</f>
        <v>100469</v>
      </c>
    </row>
    <row r="160" spans="1:16" ht="15.75" thickBot="1">
      <c r="A160" s="6" t="s">
        <v>4115</v>
      </c>
      <c r="B160" s="10"/>
      <c r="C160" s="11" t="s">
        <v>4116</v>
      </c>
      <c r="D160" s="10" t="s">
        <v>2152</v>
      </c>
      <c r="E160" s="38" t="s">
        <v>4117</v>
      </c>
      <c r="F160" s="38" t="s">
        <v>4118</v>
      </c>
      <c r="G160" s="38"/>
      <c r="H160" s="38" t="s">
        <v>3220</v>
      </c>
      <c r="I160" s="38" t="s">
        <v>2124</v>
      </c>
      <c r="J160" s="38"/>
      <c r="K160" s="38" t="s">
        <v>2157</v>
      </c>
      <c r="L160" s="38" t="s">
        <v>2136</v>
      </c>
      <c r="M160" s="38">
        <v>3</v>
      </c>
      <c r="N160" s="38"/>
      <c r="O160" s="10"/>
      <c r="P160" s="25" t="str">
        <f>HYPERLINK("http://biade.itrust.de/biade/lpext.dll?f=id&amp;id=biadb%3Ar%3A008280&amp;t=main-h.htm","8280")</f>
        <v>8280</v>
      </c>
    </row>
    <row r="161" spans="1:16" ht="15.75" thickBot="1">
      <c r="A161" s="6" t="s">
        <v>4119</v>
      </c>
      <c r="B161" s="10" t="s">
        <v>4120</v>
      </c>
      <c r="C161" s="11" t="s">
        <v>4121</v>
      </c>
      <c r="D161" s="10" t="s">
        <v>4122</v>
      </c>
      <c r="E161" s="38" t="s">
        <v>4123</v>
      </c>
      <c r="F161" s="38" t="s">
        <v>2154</v>
      </c>
      <c r="G161" s="38" t="s">
        <v>2179</v>
      </c>
      <c r="H161" s="38" t="s">
        <v>2185</v>
      </c>
      <c r="I161" s="38" t="s">
        <v>2124</v>
      </c>
      <c r="J161" s="38"/>
      <c r="K161" s="38" t="s">
        <v>2187</v>
      </c>
      <c r="L161" s="38" t="s">
        <v>2136</v>
      </c>
      <c r="M161" s="38">
        <v>3</v>
      </c>
      <c r="N161" s="38"/>
      <c r="O161" s="10"/>
      <c r="P161" s="25" t="str">
        <f>HYPERLINK("http://biade.itrust.de/biade/lpext.dll?f=id&amp;id=biadb%3Ar%3A002100&amp;t=main-h.htm","2100")</f>
        <v>2100</v>
      </c>
    </row>
    <row r="162" spans="1:16" ht="15.75" thickBot="1">
      <c r="A162" s="6" t="s">
        <v>4124</v>
      </c>
      <c r="B162" s="10"/>
      <c r="C162" s="11" t="s">
        <v>4125</v>
      </c>
      <c r="D162" s="10" t="s">
        <v>2152</v>
      </c>
      <c r="E162" s="38" t="s">
        <v>4126</v>
      </c>
      <c r="F162" s="38" t="s">
        <v>2154</v>
      </c>
      <c r="G162" s="38" t="s">
        <v>2179</v>
      </c>
      <c r="H162" s="38" t="s">
        <v>2185</v>
      </c>
      <c r="I162" s="38" t="s">
        <v>2124</v>
      </c>
      <c r="J162" s="38"/>
      <c r="K162" s="38" t="s">
        <v>2187</v>
      </c>
      <c r="L162" s="38" t="s">
        <v>2136</v>
      </c>
      <c r="M162" s="38">
        <v>3</v>
      </c>
      <c r="N162" s="38"/>
      <c r="O162" s="10"/>
      <c r="P162" s="25" t="str">
        <f>HYPERLINK("http://biade.itrust.de/biade/lpext.dll?f=id&amp;id=biadb%3Ar%3A500006&amp;t=main-h.htm","500006")</f>
        <v>500006</v>
      </c>
    </row>
    <row r="163" spans="1:16" ht="15">
      <c r="A163" s="49" t="s">
        <v>4127</v>
      </c>
      <c r="B163" s="49" t="s">
        <v>4128</v>
      </c>
      <c r="C163" s="51" t="s">
        <v>4129</v>
      </c>
      <c r="D163" s="49" t="s">
        <v>4130</v>
      </c>
      <c r="E163" s="47" t="s">
        <v>4131</v>
      </c>
      <c r="F163" s="47" t="s">
        <v>4132</v>
      </c>
      <c r="G163" s="47" t="s">
        <v>2183</v>
      </c>
      <c r="H163" s="47" t="s">
        <v>1224</v>
      </c>
      <c r="I163" s="39">
        <v>0.016</v>
      </c>
      <c r="J163" s="47">
        <v>8</v>
      </c>
      <c r="K163" s="47" t="s">
        <v>2187</v>
      </c>
      <c r="L163" s="47" t="s">
        <v>2202</v>
      </c>
      <c r="M163" s="47">
        <v>3</v>
      </c>
      <c r="N163" s="47" t="s">
        <v>4133</v>
      </c>
      <c r="O163" s="49"/>
      <c r="P163" s="51"/>
    </row>
    <row r="164" spans="1:16" ht="15.75" thickBot="1">
      <c r="A164" s="50"/>
      <c r="B164" s="50"/>
      <c r="C164" s="52"/>
      <c r="D164" s="50"/>
      <c r="E164" s="48"/>
      <c r="F164" s="48"/>
      <c r="G164" s="48"/>
      <c r="H164" s="48"/>
      <c r="I164" s="38">
        <v>0.005</v>
      </c>
      <c r="J164" s="48"/>
      <c r="K164" s="48"/>
      <c r="L164" s="48"/>
      <c r="M164" s="48"/>
      <c r="N164" s="48"/>
      <c r="O164" s="50"/>
      <c r="P164" s="52"/>
    </row>
    <row r="165" spans="1:16" ht="15">
      <c r="A165" s="49" t="s">
        <v>4134</v>
      </c>
      <c r="B165" s="49" t="s">
        <v>4135</v>
      </c>
      <c r="C165" s="51" t="s">
        <v>4136</v>
      </c>
      <c r="D165" s="49" t="s">
        <v>1229</v>
      </c>
      <c r="E165" s="47" t="s">
        <v>4137</v>
      </c>
      <c r="F165" s="47" t="s">
        <v>1231</v>
      </c>
      <c r="G165" s="47" t="s">
        <v>2179</v>
      </c>
      <c r="H165" s="47" t="s">
        <v>2185</v>
      </c>
      <c r="I165" s="39">
        <v>15000</v>
      </c>
      <c r="J165" s="47"/>
      <c r="K165" s="47" t="s">
        <v>2187</v>
      </c>
      <c r="L165" s="47" t="s">
        <v>2198</v>
      </c>
      <c r="M165" s="47"/>
      <c r="N165" s="47"/>
      <c r="O165" s="49"/>
      <c r="P165" s="51"/>
    </row>
    <row r="166" spans="1:16" ht="15.75" thickBot="1">
      <c r="A166" s="50"/>
      <c r="B166" s="50"/>
      <c r="C166" s="52"/>
      <c r="D166" s="50"/>
      <c r="E166" s="48"/>
      <c r="F166" s="48"/>
      <c r="G166" s="48"/>
      <c r="H166" s="48"/>
      <c r="I166" s="38" t="s">
        <v>4138</v>
      </c>
      <c r="J166" s="48"/>
      <c r="K166" s="48"/>
      <c r="L166" s="48"/>
      <c r="M166" s="48"/>
      <c r="N166" s="48"/>
      <c r="O166" s="50"/>
      <c r="P166" s="52"/>
    </row>
    <row r="167" spans="1:16" ht="15.75" thickBot="1">
      <c r="A167" s="6" t="s">
        <v>4139</v>
      </c>
      <c r="B167" s="10" t="s">
        <v>4140</v>
      </c>
      <c r="C167" s="11" t="s">
        <v>4141</v>
      </c>
      <c r="D167" s="10"/>
      <c r="E167" s="38"/>
      <c r="F167" s="38"/>
      <c r="G167" s="38"/>
      <c r="H167" s="38" t="s">
        <v>2123</v>
      </c>
      <c r="I167" s="38" t="s">
        <v>2124</v>
      </c>
      <c r="J167" s="38"/>
      <c r="K167" s="38"/>
      <c r="L167" s="38" t="s">
        <v>2125</v>
      </c>
      <c r="M167" s="38">
        <v>1</v>
      </c>
      <c r="N167" s="38"/>
      <c r="O167" s="10"/>
      <c r="P167" s="25" t="str">
        <f>HYPERLINK("http://biade.itrust.de/biade/lpext.dll?f=id&amp;id=biadb%3Ar%3A040250&amp;t=main-h.htm","40250")</f>
        <v>40250</v>
      </c>
    </row>
    <row r="168" spans="1:16" ht="15.75" thickBot="1">
      <c r="A168" s="6" t="s">
        <v>4142</v>
      </c>
      <c r="B168" s="10" t="s">
        <v>2121</v>
      </c>
      <c r="C168" s="11" t="s">
        <v>4143</v>
      </c>
      <c r="D168" s="10"/>
      <c r="E168" s="38"/>
      <c r="F168" s="38"/>
      <c r="G168" s="38"/>
      <c r="H168" s="38" t="s">
        <v>2123</v>
      </c>
      <c r="I168" s="38" t="s">
        <v>2124</v>
      </c>
      <c r="J168" s="38"/>
      <c r="K168" s="38"/>
      <c r="L168" s="38" t="s">
        <v>2125</v>
      </c>
      <c r="M168" s="38">
        <v>1</v>
      </c>
      <c r="N168" s="38"/>
      <c r="O168" s="10"/>
      <c r="P168" s="11"/>
    </row>
    <row r="169" spans="1:16" ht="15.75" thickBot="1">
      <c r="A169" s="6" t="s">
        <v>4144</v>
      </c>
      <c r="B169" s="10"/>
      <c r="C169" s="11" t="s">
        <v>4145</v>
      </c>
      <c r="D169" s="10" t="s">
        <v>4010</v>
      </c>
      <c r="E169" s="38" t="s">
        <v>4146</v>
      </c>
      <c r="F169" s="38" t="s">
        <v>4147</v>
      </c>
      <c r="G169" s="38"/>
      <c r="H169" s="38" t="s">
        <v>1224</v>
      </c>
      <c r="I169" s="38" t="s">
        <v>2124</v>
      </c>
      <c r="J169" s="38"/>
      <c r="K169" s="38" t="s">
        <v>2157</v>
      </c>
      <c r="L169" s="38" t="s">
        <v>2165</v>
      </c>
      <c r="M169" s="38">
        <v>3</v>
      </c>
      <c r="N169" s="38" t="s">
        <v>4148</v>
      </c>
      <c r="O169" s="10"/>
      <c r="P169" s="25" t="str">
        <f>HYPERLINK("http://biade.itrust.de/biade/lpext.dll?f=id&amp;id=biadb%3Ar%3A510050&amp;t=main-h.htm","510050")</f>
        <v>510050</v>
      </c>
    </row>
    <row r="170" spans="1:16" ht="15.75" thickBot="1">
      <c r="A170" s="6" t="s">
        <v>4149</v>
      </c>
      <c r="B170" s="10"/>
      <c r="C170" s="11" t="s">
        <v>4150</v>
      </c>
      <c r="D170" s="10" t="s">
        <v>4010</v>
      </c>
      <c r="E170" s="38" t="s">
        <v>4146</v>
      </c>
      <c r="F170" s="38" t="s">
        <v>4147</v>
      </c>
      <c r="G170" s="38"/>
      <c r="H170" s="38" t="s">
        <v>1224</v>
      </c>
      <c r="I170" s="38" t="s">
        <v>2124</v>
      </c>
      <c r="J170" s="38"/>
      <c r="K170" s="38" t="s">
        <v>2157</v>
      </c>
      <c r="L170" s="38" t="s">
        <v>2165</v>
      </c>
      <c r="M170" s="38">
        <v>3</v>
      </c>
      <c r="N170" s="38" t="s">
        <v>4148</v>
      </c>
      <c r="O170" s="10"/>
      <c r="P170" s="25" t="str">
        <f>HYPERLINK("http://biade.itrust.de/biade/lpext.dll?f=id&amp;id=biadb%3Ar%3A510051&amp;t=main-h.htm","510051")</f>
        <v>510051</v>
      </c>
    </row>
    <row r="171" spans="1:16" ht="26.25" thickBot="1">
      <c r="A171" s="6" t="s">
        <v>4151</v>
      </c>
      <c r="B171" s="10" t="s">
        <v>1184</v>
      </c>
      <c r="C171" s="11" t="s">
        <v>4152</v>
      </c>
      <c r="D171" s="10" t="s">
        <v>3961</v>
      </c>
      <c r="E171" s="38" t="s">
        <v>4153</v>
      </c>
      <c r="F171" s="38" t="s">
        <v>4154</v>
      </c>
      <c r="G171" s="38" t="s">
        <v>4155</v>
      </c>
      <c r="H171" s="38" t="s">
        <v>2185</v>
      </c>
      <c r="I171" s="38" t="s">
        <v>2124</v>
      </c>
      <c r="J171" s="38"/>
      <c r="K171" s="38" t="s">
        <v>2187</v>
      </c>
      <c r="L171" s="38" t="s">
        <v>2165</v>
      </c>
      <c r="M171" s="38">
        <v>1</v>
      </c>
      <c r="N171" s="38"/>
      <c r="O171" s="10"/>
      <c r="P171" s="25" t="str">
        <f>HYPERLINK("http://biade.itrust.de/biade/lpext.dll?f=id&amp;id=biadb%3Ar%3A490207&amp;t=main-h.htm","490207")</f>
        <v>490207</v>
      </c>
    </row>
    <row r="172" spans="1:16" ht="15.75" thickBot="1">
      <c r="A172" s="6" t="s">
        <v>4156</v>
      </c>
      <c r="B172" s="10" t="s">
        <v>4156</v>
      </c>
      <c r="C172" s="11" t="s">
        <v>4157</v>
      </c>
      <c r="D172" s="10" t="s">
        <v>3961</v>
      </c>
      <c r="E172" s="38" t="s">
        <v>4153</v>
      </c>
      <c r="F172" s="38" t="s">
        <v>4154</v>
      </c>
      <c r="G172" s="38" t="s">
        <v>4155</v>
      </c>
      <c r="H172" s="38" t="s">
        <v>2185</v>
      </c>
      <c r="I172" s="38" t="s">
        <v>2124</v>
      </c>
      <c r="J172" s="38"/>
      <c r="K172" s="38" t="s">
        <v>2187</v>
      </c>
      <c r="L172" s="38" t="s">
        <v>2194</v>
      </c>
      <c r="M172" s="38"/>
      <c r="N172" s="38"/>
      <c r="O172" s="10"/>
      <c r="P172" s="25" t="str">
        <f>HYPERLINK("http://biade.itrust.de/biade/lpext.dll?f=id&amp;id=biadb%3Ar%3A510727&amp;t=main-h.htm","510727")</f>
        <v>510727</v>
      </c>
    </row>
    <row r="173" spans="1:16" ht="15.75" thickBot="1">
      <c r="A173" s="6" t="s">
        <v>4158</v>
      </c>
      <c r="B173" s="10"/>
      <c r="C173" s="11" t="s">
        <v>4159</v>
      </c>
      <c r="D173" s="10" t="s">
        <v>2152</v>
      </c>
      <c r="E173" s="38" t="s">
        <v>4160</v>
      </c>
      <c r="F173" s="38" t="s">
        <v>2154</v>
      </c>
      <c r="G173" s="38" t="s">
        <v>4161</v>
      </c>
      <c r="H173" s="38" t="s">
        <v>2185</v>
      </c>
      <c r="I173" s="38" t="s">
        <v>2124</v>
      </c>
      <c r="J173" s="38"/>
      <c r="K173" s="38" t="s">
        <v>2187</v>
      </c>
      <c r="L173" s="38" t="s">
        <v>2165</v>
      </c>
      <c r="M173" s="38">
        <v>3</v>
      </c>
      <c r="N173" s="38"/>
      <c r="O173" s="10"/>
      <c r="P173" s="25" t="str">
        <f>HYPERLINK("http://biade.itrust.de/biade/lpext.dll?f=id&amp;id=biadb%3Ar%3A014690&amp;t=main-h.htm","14690")</f>
        <v>14690</v>
      </c>
    </row>
    <row r="174" spans="1:16" ht="15.75" thickBot="1">
      <c r="A174" s="20" t="s">
        <v>926</v>
      </c>
      <c r="B174" s="10" t="s">
        <v>4162</v>
      </c>
      <c r="C174" s="11" t="s">
        <v>4163</v>
      </c>
      <c r="D174" s="10" t="s">
        <v>4164</v>
      </c>
      <c r="E174" s="38" t="s">
        <v>4165</v>
      </c>
      <c r="F174" s="38" t="s">
        <v>4166</v>
      </c>
      <c r="G174" s="38"/>
      <c r="H174" s="38" t="s">
        <v>1224</v>
      </c>
      <c r="I174" s="38" t="s">
        <v>2124</v>
      </c>
      <c r="J174" s="38"/>
      <c r="K174" s="38" t="s">
        <v>2171</v>
      </c>
      <c r="L174" s="38" t="s">
        <v>2172</v>
      </c>
      <c r="M174" s="38">
        <v>2</v>
      </c>
      <c r="N174" s="38"/>
      <c r="O174" s="10"/>
      <c r="P174" s="25" t="str">
        <f>HYPERLINK("http://biade.itrust.de/biade/lpext.dll?f=id&amp;id=biadb%3Ar%3A012740&amp;t=main-h.htm","12740")</f>
        <v>12740</v>
      </c>
    </row>
    <row r="175" spans="1:16" ht="22.5" customHeight="1">
      <c r="A175" s="49" t="s">
        <v>4167</v>
      </c>
      <c r="B175" s="49" t="s">
        <v>4168</v>
      </c>
      <c r="C175" s="51"/>
      <c r="D175" s="49" t="s">
        <v>4071</v>
      </c>
      <c r="E175" s="47" t="s">
        <v>567</v>
      </c>
      <c r="F175" s="47" t="s">
        <v>2742</v>
      </c>
      <c r="G175" s="47"/>
      <c r="H175" s="47" t="s">
        <v>2129</v>
      </c>
      <c r="I175" s="47" t="s">
        <v>2124</v>
      </c>
      <c r="J175" s="47"/>
      <c r="K175" s="39" t="s">
        <v>3774</v>
      </c>
      <c r="L175" s="47" t="s">
        <v>2130</v>
      </c>
      <c r="M175" s="47">
        <v>1</v>
      </c>
      <c r="N175" s="47"/>
      <c r="O175" s="49"/>
      <c r="P175" s="51"/>
    </row>
    <row r="176" spans="1:16" ht="15.75" thickBot="1">
      <c r="A176" s="50"/>
      <c r="B176" s="50"/>
      <c r="C176" s="52"/>
      <c r="D176" s="50"/>
      <c r="E176" s="48"/>
      <c r="F176" s="48"/>
      <c r="G176" s="48"/>
      <c r="H176" s="48"/>
      <c r="I176" s="48"/>
      <c r="J176" s="48"/>
      <c r="K176" s="38" t="s">
        <v>2190</v>
      </c>
      <c r="L176" s="48"/>
      <c r="M176" s="48"/>
      <c r="N176" s="48"/>
      <c r="O176" s="50"/>
      <c r="P176" s="52"/>
    </row>
    <row r="177" spans="1:16" ht="15.75" thickBot="1">
      <c r="A177" s="6" t="s">
        <v>4169</v>
      </c>
      <c r="B177" s="10"/>
      <c r="C177" s="11" t="s">
        <v>4170</v>
      </c>
      <c r="D177" s="10" t="s">
        <v>3771</v>
      </c>
      <c r="E177" s="38" t="s">
        <v>4171</v>
      </c>
      <c r="F177" s="38" t="s">
        <v>1608</v>
      </c>
      <c r="G177" s="38"/>
      <c r="H177" s="38" t="s">
        <v>2164</v>
      </c>
      <c r="I177" s="38" t="s">
        <v>2124</v>
      </c>
      <c r="J177" s="38"/>
      <c r="K177" s="38"/>
      <c r="L177" s="38" t="s">
        <v>2136</v>
      </c>
      <c r="M177" s="38">
        <v>1</v>
      </c>
      <c r="N177" s="38"/>
      <c r="O177" s="10"/>
      <c r="P177" s="25" t="str">
        <f>HYPERLINK("http://biade.itrust.de/biade/lpext.dll?f=id&amp;id=biadb%3Ar%3A008420&amp;t=main-h.htm","8420")</f>
        <v>8420</v>
      </c>
    </row>
    <row r="178" spans="1:16" ht="15.75" thickBot="1">
      <c r="A178" s="6" t="s">
        <v>1609</v>
      </c>
      <c r="B178" s="10" t="s">
        <v>2121</v>
      </c>
      <c r="C178" s="11" t="s">
        <v>1610</v>
      </c>
      <c r="D178" s="10" t="s">
        <v>2128</v>
      </c>
      <c r="E178" s="38" t="s">
        <v>1611</v>
      </c>
      <c r="F178" s="38">
        <v>28</v>
      </c>
      <c r="G178" s="38"/>
      <c r="H178" s="38" t="s">
        <v>2164</v>
      </c>
      <c r="I178" s="38" t="s">
        <v>1612</v>
      </c>
      <c r="J178" s="38">
        <v>2</v>
      </c>
      <c r="K178" s="38"/>
      <c r="L178" s="38" t="s">
        <v>2165</v>
      </c>
      <c r="M178" s="38">
        <v>1</v>
      </c>
      <c r="N178" s="38" t="s">
        <v>1613</v>
      </c>
      <c r="O178" s="10"/>
      <c r="P178" s="25" t="str">
        <f>HYPERLINK("http://biade.itrust.de/biade/lpext.dll?f=id&amp;id=biadb%3Ar%3A510057&amp;t=main-h.htm","510057")</f>
        <v>510057</v>
      </c>
    </row>
    <row r="179" spans="1:16" ht="15.75" thickBot="1">
      <c r="A179" s="6" t="s">
        <v>1614</v>
      </c>
      <c r="B179" s="10"/>
      <c r="C179" s="11" t="s">
        <v>1615</v>
      </c>
      <c r="D179" s="10" t="s">
        <v>2128</v>
      </c>
      <c r="E179" s="38">
        <v>22</v>
      </c>
      <c r="F179" s="38" t="s">
        <v>4026</v>
      </c>
      <c r="G179" s="38"/>
      <c r="H179" s="38" t="s">
        <v>2164</v>
      </c>
      <c r="I179" s="38" t="s">
        <v>1612</v>
      </c>
      <c r="J179" s="38">
        <v>2</v>
      </c>
      <c r="K179" s="38"/>
      <c r="L179" s="38" t="s">
        <v>2136</v>
      </c>
      <c r="M179" s="38" t="s">
        <v>2221</v>
      </c>
      <c r="N179" s="38" t="s">
        <v>2144</v>
      </c>
      <c r="O179" s="10"/>
      <c r="P179" s="25" t="str">
        <f>HYPERLINK("http://biade.itrust.de/biade/lpext.dll?f=id&amp;id=biadb%3Ar%3A001690&amp;t=main-h.htm","1690")</f>
        <v>1690</v>
      </c>
    </row>
    <row r="180" spans="1:16" ht="15">
      <c r="A180" s="5" t="s">
        <v>1616</v>
      </c>
      <c r="B180" s="49"/>
      <c r="C180" s="51" t="s">
        <v>1618</v>
      </c>
      <c r="D180" s="49" t="s">
        <v>2141</v>
      </c>
      <c r="E180" s="47" t="s">
        <v>1619</v>
      </c>
      <c r="F180" s="47" t="s">
        <v>1620</v>
      </c>
      <c r="G180" s="47"/>
      <c r="H180" s="47" t="s">
        <v>1621</v>
      </c>
      <c r="I180" s="47" t="s">
        <v>1612</v>
      </c>
      <c r="J180" s="47">
        <v>2</v>
      </c>
      <c r="K180" s="47"/>
      <c r="L180" s="47" t="s">
        <v>2216</v>
      </c>
      <c r="M180" s="47">
        <v>2</v>
      </c>
      <c r="N180" s="47" t="s">
        <v>2144</v>
      </c>
      <c r="O180" s="49"/>
      <c r="P180" s="51"/>
    </row>
    <row r="181" spans="1:16" ht="15.75" thickBot="1">
      <c r="A181" s="6" t="s">
        <v>1617</v>
      </c>
      <c r="B181" s="50"/>
      <c r="C181" s="52"/>
      <c r="D181" s="50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50"/>
      <c r="P181" s="52"/>
    </row>
    <row r="182" spans="1:16" ht="15">
      <c r="A182" s="5" t="s">
        <v>1622</v>
      </c>
      <c r="B182" s="49" t="s">
        <v>2121</v>
      </c>
      <c r="C182" s="51" t="s">
        <v>1624</v>
      </c>
      <c r="D182" s="49" t="s">
        <v>1229</v>
      </c>
      <c r="E182" s="47" t="s">
        <v>1625</v>
      </c>
      <c r="F182" s="47">
        <v>45</v>
      </c>
      <c r="G182" s="47"/>
      <c r="H182" s="47" t="s">
        <v>3220</v>
      </c>
      <c r="I182" s="47" t="s">
        <v>1612</v>
      </c>
      <c r="J182" s="47">
        <v>2</v>
      </c>
      <c r="K182" s="47" t="s">
        <v>2157</v>
      </c>
      <c r="L182" s="47" t="s">
        <v>2136</v>
      </c>
      <c r="M182" s="47">
        <v>1</v>
      </c>
      <c r="N182" s="47" t="s">
        <v>1626</v>
      </c>
      <c r="O182" s="49"/>
      <c r="P182" s="51"/>
    </row>
    <row r="183" spans="1:16" ht="15.75" thickBot="1">
      <c r="A183" s="6" t="s">
        <v>1623</v>
      </c>
      <c r="B183" s="50"/>
      <c r="C183" s="52"/>
      <c r="D183" s="50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50"/>
      <c r="P183" s="52"/>
    </row>
    <row r="184" spans="1:16" ht="15">
      <c r="A184" s="49" t="s">
        <v>1627</v>
      </c>
      <c r="B184" s="7" t="s">
        <v>1628</v>
      </c>
      <c r="C184" s="51" t="s">
        <v>1630</v>
      </c>
      <c r="D184" s="49" t="s">
        <v>2128</v>
      </c>
      <c r="E184" s="47" t="s">
        <v>1611</v>
      </c>
      <c r="F184" s="47">
        <v>28</v>
      </c>
      <c r="G184" s="47"/>
      <c r="H184" s="47" t="s">
        <v>2164</v>
      </c>
      <c r="I184" s="47"/>
      <c r="J184" s="47"/>
      <c r="K184" s="47"/>
      <c r="L184" s="47" t="s">
        <v>2158</v>
      </c>
      <c r="M184" s="47"/>
      <c r="N184" s="47"/>
      <c r="O184" s="49"/>
      <c r="P184" s="51"/>
    </row>
    <row r="185" spans="1:16" ht="15.75" thickBot="1">
      <c r="A185" s="50"/>
      <c r="B185" s="10" t="s">
        <v>1629</v>
      </c>
      <c r="C185" s="52"/>
      <c r="D185" s="50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50"/>
      <c r="P185" s="52"/>
    </row>
    <row r="186" spans="1:16" ht="15.75" thickBot="1">
      <c r="A186" s="6" t="s">
        <v>1631</v>
      </c>
      <c r="B186" s="10" t="s">
        <v>2121</v>
      </c>
      <c r="C186" s="11" t="s">
        <v>4184</v>
      </c>
      <c r="D186" s="10" t="s">
        <v>2227</v>
      </c>
      <c r="E186" s="38" t="s">
        <v>4185</v>
      </c>
      <c r="F186" s="38" t="s">
        <v>3884</v>
      </c>
      <c r="G186" s="38"/>
      <c r="H186" s="38" t="s">
        <v>2164</v>
      </c>
      <c r="I186" s="38" t="s">
        <v>4186</v>
      </c>
      <c r="J186" s="38" t="s">
        <v>3881</v>
      </c>
      <c r="K186" s="38"/>
      <c r="L186" s="38" t="s">
        <v>2136</v>
      </c>
      <c r="M186" s="38">
        <v>1</v>
      </c>
      <c r="N186" s="38" t="s">
        <v>3792</v>
      </c>
      <c r="O186" s="10"/>
      <c r="P186" s="25" t="str">
        <f>HYPERLINK("http://biade.itrust.de/biade/lpext.dll?f=id&amp;id=biadb%3Ar%3A004220&amp;t=main-h.htm","4220")</f>
        <v>4220</v>
      </c>
    </row>
    <row r="187" spans="1:16" ht="15.75" thickBot="1">
      <c r="A187" s="6" t="s">
        <v>4187</v>
      </c>
      <c r="B187" s="10"/>
      <c r="C187" s="11" t="s">
        <v>4188</v>
      </c>
      <c r="D187" s="10" t="s">
        <v>2141</v>
      </c>
      <c r="E187" s="38" t="s">
        <v>4189</v>
      </c>
      <c r="F187" s="38" t="s">
        <v>4190</v>
      </c>
      <c r="G187" s="38"/>
      <c r="H187" s="38" t="s">
        <v>2129</v>
      </c>
      <c r="I187" s="38" t="s">
        <v>4186</v>
      </c>
      <c r="J187" s="38">
        <v>2</v>
      </c>
      <c r="K187" s="38"/>
      <c r="L187" s="38" t="s">
        <v>2136</v>
      </c>
      <c r="M187" s="38">
        <v>1</v>
      </c>
      <c r="N187" s="38" t="s">
        <v>4191</v>
      </c>
      <c r="O187" s="10"/>
      <c r="P187" s="25" t="str">
        <f>HYPERLINK("http://biade.itrust.de/biade/lpext.dll?f=id&amp;id=biadb%3Ar%3A004750&amp;t=main-h.htm","4750")</f>
        <v>4750</v>
      </c>
    </row>
    <row r="188" spans="1:16" ht="15">
      <c r="A188" s="5" t="s">
        <v>4192</v>
      </c>
      <c r="B188" s="49"/>
      <c r="C188" s="51" t="s">
        <v>4193</v>
      </c>
      <c r="D188" s="49" t="s">
        <v>2128</v>
      </c>
      <c r="E188" s="47" t="s">
        <v>1611</v>
      </c>
      <c r="F188" s="47">
        <v>28</v>
      </c>
      <c r="G188" s="47"/>
      <c r="H188" s="47" t="s">
        <v>2164</v>
      </c>
      <c r="I188" s="47"/>
      <c r="J188" s="47"/>
      <c r="K188" s="47"/>
      <c r="L188" s="47" t="s">
        <v>2136</v>
      </c>
      <c r="M188" s="47">
        <v>1</v>
      </c>
      <c r="N188" s="47" t="s">
        <v>1613</v>
      </c>
      <c r="O188" s="49"/>
      <c r="P188" s="51"/>
    </row>
    <row r="189" spans="1:16" ht="15.75" thickBot="1">
      <c r="A189" s="6" t="s">
        <v>2160</v>
      </c>
      <c r="B189" s="50"/>
      <c r="C189" s="52"/>
      <c r="D189" s="50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50"/>
      <c r="P189" s="52"/>
    </row>
    <row r="190" spans="1:16" ht="15">
      <c r="A190" s="5" t="s">
        <v>4194</v>
      </c>
      <c r="B190" s="49"/>
      <c r="C190" s="51" t="s">
        <v>4195</v>
      </c>
      <c r="D190" s="49" t="s">
        <v>2141</v>
      </c>
      <c r="E190" s="47" t="s">
        <v>1619</v>
      </c>
      <c r="F190" s="47">
        <v>27</v>
      </c>
      <c r="G190" s="47"/>
      <c r="H190" s="47" t="s">
        <v>2129</v>
      </c>
      <c r="I190" s="47" t="s">
        <v>4186</v>
      </c>
      <c r="J190" s="47">
        <v>2</v>
      </c>
      <c r="K190" s="47"/>
      <c r="L190" s="47" t="s">
        <v>2136</v>
      </c>
      <c r="M190" s="47">
        <v>1</v>
      </c>
      <c r="N190" s="47" t="s">
        <v>2144</v>
      </c>
      <c r="O190" s="49"/>
      <c r="P190" s="51"/>
    </row>
    <row r="191" spans="1:16" ht="15.75" thickBot="1">
      <c r="A191" s="6" t="s">
        <v>2160</v>
      </c>
      <c r="B191" s="50"/>
      <c r="C191" s="52"/>
      <c r="D191" s="50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50"/>
      <c r="P191" s="52"/>
    </row>
    <row r="192" spans="1:16" ht="15">
      <c r="A192" s="5" t="s">
        <v>4196</v>
      </c>
      <c r="B192" s="49"/>
      <c r="C192" s="51" t="s">
        <v>4197</v>
      </c>
      <c r="D192" s="49" t="s">
        <v>2141</v>
      </c>
      <c r="E192" s="47" t="s">
        <v>4189</v>
      </c>
      <c r="F192" s="47" t="s">
        <v>4198</v>
      </c>
      <c r="G192" s="47"/>
      <c r="H192" s="47" t="s">
        <v>2129</v>
      </c>
      <c r="I192" s="47" t="s">
        <v>2124</v>
      </c>
      <c r="J192" s="47"/>
      <c r="K192" s="47"/>
      <c r="L192" s="47" t="s">
        <v>2136</v>
      </c>
      <c r="M192" s="47">
        <v>1</v>
      </c>
      <c r="N192" s="47"/>
      <c r="O192" s="49"/>
      <c r="P192" s="51"/>
    </row>
    <row r="193" spans="1:16" ht="15.75" thickBot="1">
      <c r="A193" s="6" t="s">
        <v>2160</v>
      </c>
      <c r="B193" s="50"/>
      <c r="C193" s="52"/>
      <c r="D193" s="50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50"/>
      <c r="P193" s="52"/>
    </row>
    <row r="194" spans="1:16" ht="15">
      <c r="A194" s="49" t="s">
        <v>4199</v>
      </c>
      <c r="B194" s="49" t="s">
        <v>2121</v>
      </c>
      <c r="C194" s="51" t="s">
        <v>4200</v>
      </c>
      <c r="D194" s="49"/>
      <c r="E194" s="47"/>
      <c r="F194" s="47"/>
      <c r="G194" s="47"/>
      <c r="H194" s="47" t="s">
        <v>2123</v>
      </c>
      <c r="I194" s="39" t="s">
        <v>4201</v>
      </c>
      <c r="J194" s="47" t="s">
        <v>3881</v>
      </c>
      <c r="K194" s="47"/>
      <c r="L194" s="47" t="s">
        <v>2125</v>
      </c>
      <c r="M194" s="47" t="s">
        <v>2221</v>
      </c>
      <c r="N194" s="47"/>
      <c r="O194" s="49"/>
      <c r="P194" s="51"/>
    </row>
    <row r="195" spans="1:16" ht="15.75" thickBot="1">
      <c r="A195" s="50"/>
      <c r="B195" s="50"/>
      <c r="C195" s="52"/>
      <c r="D195" s="50"/>
      <c r="E195" s="48"/>
      <c r="F195" s="48"/>
      <c r="G195" s="48"/>
      <c r="H195" s="48"/>
      <c r="I195" s="38" t="s">
        <v>2124</v>
      </c>
      <c r="J195" s="48"/>
      <c r="K195" s="48"/>
      <c r="L195" s="48"/>
      <c r="M195" s="48"/>
      <c r="N195" s="48"/>
      <c r="O195" s="50"/>
      <c r="P195" s="52"/>
    </row>
    <row r="196" spans="1:16" ht="26.25" thickBot="1">
      <c r="A196" s="6" t="s">
        <v>4202</v>
      </c>
      <c r="B196" s="10" t="s">
        <v>4203</v>
      </c>
      <c r="C196" s="11"/>
      <c r="D196" s="10" t="s">
        <v>2128</v>
      </c>
      <c r="E196" s="38" t="s">
        <v>3999</v>
      </c>
      <c r="F196" s="38" t="s">
        <v>3219</v>
      </c>
      <c r="G196" s="38"/>
      <c r="H196" s="38" t="s">
        <v>2164</v>
      </c>
      <c r="I196" s="38" t="s">
        <v>2124</v>
      </c>
      <c r="J196" s="38"/>
      <c r="K196" s="38"/>
      <c r="L196" s="38" t="s">
        <v>2130</v>
      </c>
      <c r="M196" s="38"/>
      <c r="N196" s="38"/>
      <c r="O196" s="10"/>
      <c r="P196" s="11"/>
    </row>
    <row r="197" spans="1:16" ht="15.75" thickBot="1">
      <c r="A197" s="6" t="s">
        <v>4204</v>
      </c>
      <c r="B197" s="10" t="s">
        <v>2177</v>
      </c>
      <c r="C197" s="11" t="s">
        <v>4205</v>
      </c>
      <c r="D197" s="10"/>
      <c r="E197" s="38"/>
      <c r="F197" s="38" t="s">
        <v>3856</v>
      </c>
      <c r="G197" s="38"/>
      <c r="H197" s="38" t="s">
        <v>2123</v>
      </c>
      <c r="I197" s="38" t="s">
        <v>2124</v>
      </c>
      <c r="J197" s="38"/>
      <c r="K197" s="38"/>
      <c r="L197" s="38" t="s">
        <v>2204</v>
      </c>
      <c r="M197" s="38"/>
      <c r="N197" s="38"/>
      <c r="O197" s="10"/>
      <c r="P197" s="25" t="str">
        <f>HYPERLINK("http://biade.itrust.de/biade/lpext.dll?f=id&amp;id=biadb%3Ar%3A109332&amp;t=main-h.htm","109332")</f>
        <v>109332</v>
      </c>
    </row>
    <row r="198" spans="1:16" ht="15">
      <c r="A198" s="49" t="s">
        <v>4206</v>
      </c>
      <c r="B198" s="49"/>
      <c r="C198" s="51" t="s">
        <v>4207</v>
      </c>
      <c r="D198" s="49" t="s">
        <v>2128</v>
      </c>
      <c r="E198" s="47">
        <v>22</v>
      </c>
      <c r="F198" s="47">
        <v>24</v>
      </c>
      <c r="G198" s="47"/>
      <c r="H198" s="47" t="s">
        <v>2164</v>
      </c>
      <c r="I198" s="47" t="s">
        <v>2124</v>
      </c>
      <c r="J198" s="47"/>
      <c r="K198" s="39" t="s">
        <v>2188</v>
      </c>
      <c r="L198" s="47" t="s">
        <v>2130</v>
      </c>
      <c r="M198" s="47">
        <v>2</v>
      </c>
      <c r="N198" s="47" t="s">
        <v>2144</v>
      </c>
      <c r="O198" s="49"/>
      <c r="P198" s="51"/>
    </row>
    <row r="199" spans="1:16" ht="15.75" thickBot="1">
      <c r="A199" s="50"/>
      <c r="B199" s="50"/>
      <c r="C199" s="52"/>
      <c r="D199" s="50"/>
      <c r="E199" s="48"/>
      <c r="F199" s="48"/>
      <c r="G199" s="48"/>
      <c r="H199" s="48"/>
      <c r="I199" s="48"/>
      <c r="J199" s="48"/>
      <c r="K199" s="38" t="s">
        <v>4208</v>
      </c>
      <c r="L199" s="48"/>
      <c r="M199" s="48"/>
      <c r="N199" s="48"/>
      <c r="O199" s="50"/>
      <c r="P199" s="52"/>
    </row>
    <row r="200" spans="1:16" ht="15.75" thickBot="1">
      <c r="A200" s="6" t="s">
        <v>4209</v>
      </c>
      <c r="B200" s="10" t="s">
        <v>2121</v>
      </c>
      <c r="C200" s="11" t="s">
        <v>4210</v>
      </c>
      <c r="D200" s="10" t="s">
        <v>2128</v>
      </c>
      <c r="E200" s="38" t="s">
        <v>4211</v>
      </c>
      <c r="F200" s="38" t="s">
        <v>3219</v>
      </c>
      <c r="G200" s="38"/>
      <c r="H200" s="38" t="s">
        <v>2164</v>
      </c>
      <c r="I200" s="38" t="s">
        <v>2124</v>
      </c>
      <c r="J200" s="38"/>
      <c r="K200" s="38"/>
      <c r="L200" s="38" t="s">
        <v>2165</v>
      </c>
      <c r="M200" s="38">
        <v>1</v>
      </c>
      <c r="N200" s="38" t="s">
        <v>2144</v>
      </c>
      <c r="O200" s="10"/>
      <c r="P200" s="25" t="str">
        <f>HYPERLINK("http://biade.itrust.de/biade/lpext.dll?f=id&amp;id=biadb%3Ar%3A020360&amp;t=main-h.htm","20360")</f>
        <v>20360</v>
      </c>
    </row>
    <row r="201" spans="1:16" ht="15.75" thickBot="1">
      <c r="A201" s="6" t="s">
        <v>4212</v>
      </c>
      <c r="B201" s="10" t="s">
        <v>1183</v>
      </c>
      <c r="C201" s="11" t="s">
        <v>4213</v>
      </c>
      <c r="D201" s="10" t="s">
        <v>2152</v>
      </c>
      <c r="E201" s="38" t="s">
        <v>4214</v>
      </c>
      <c r="F201" s="38" t="s">
        <v>2154</v>
      </c>
      <c r="G201" s="38" t="s">
        <v>4215</v>
      </c>
      <c r="H201" s="38" t="s">
        <v>2185</v>
      </c>
      <c r="I201" s="38" t="s">
        <v>2124</v>
      </c>
      <c r="J201" s="38"/>
      <c r="K201" s="38" t="s">
        <v>2187</v>
      </c>
      <c r="L201" s="38" t="s">
        <v>2165</v>
      </c>
      <c r="M201" s="38">
        <v>3</v>
      </c>
      <c r="N201" s="38"/>
      <c r="O201" s="10"/>
      <c r="P201" s="25" t="str">
        <f>HYPERLINK("http://biade.itrust.de/biade/lpext.dll?f=id&amp;id=biadb%3Ar%3A015310&amp;t=main-h.htm","15310")</f>
        <v>15310</v>
      </c>
    </row>
    <row r="202" spans="1:16" ht="15.75" thickBot="1">
      <c r="A202" s="6" t="s">
        <v>4216</v>
      </c>
      <c r="B202" s="10" t="s">
        <v>4217</v>
      </c>
      <c r="C202" s="11" t="s">
        <v>4218</v>
      </c>
      <c r="D202" s="10" t="s">
        <v>2134</v>
      </c>
      <c r="E202" s="38" t="s">
        <v>2135</v>
      </c>
      <c r="F202" s="38" t="s">
        <v>4219</v>
      </c>
      <c r="G202" s="38"/>
      <c r="H202" s="38" t="s">
        <v>2164</v>
      </c>
      <c r="I202" s="38" t="s">
        <v>2124</v>
      </c>
      <c r="J202" s="38"/>
      <c r="K202" s="38"/>
      <c r="L202" s="38" t="s">
        <v>2165</v>
      </c>
      <c r="M202" s="38">
        <v>2</v>
      </c>
      <c r="N202" s="38"/>
      <c r="O202" s="10"/>
      <c r="P202" s="25" t="str">
        <f>HYPERLINK("http://biade.itrust.de/biade/lpext.dll?f=id&amp;id=biadb%3Ar%3A037790&amp;t=main-h.htm","37790")</f>
        <v>37790</v>
      </c>
    </row>
    <row r="203" spans="1:16" ht="15">
      <c r="A203" s="49" t="s">
        <v>4220</v>
      </c>
      <c r="B203" s="7" t="s">
        <v>4221</v>
      </c>
      <c r="C203" s="51" t="s">
        <v>4222</v>
      </c>
      <c r="D203" s="49" t="s">
        <v>4223</v>
      </c>
      <c r="E203" s="47" t="s">
        <v>4224</v>
      </c>
      <c r="F203" s="47" t="s">
        <v>4225</v>
      </c>
      <c r="G203" s="47"/>
      <c r="H203" s="47" t="s">
        <v>2164</v>
      </c>
      <c r="I203" s="47" t="s">
        <v>2124</v>
      </c>
      <c r="J203" s="47"/>
      <c r="K203" s="39" t="s">
        <v>3774</v>
      </c>
      <c r="L203" s="47" t="s">
        <v>2130</v>
      </c>
      <c r="M203" s="47">
        <v>1</v>
      </c>
      <c r="N203" s="47"/>
      <c r="O203" s="49"/>
      <c r="P203" s="51"/>
    </row>
    <row r="204" spans="1:16" ht="15.75" thickBot="1">
      <c r="A204" s="50"/>
      <c r="B204" s="10" t="s">
        <v>1262</v>
      </c>
      <c r="C204" s="52"/>
      <c r="D204" s="50"/>
      <c r="E204" s="48"/>
      <c r="F204" s="48"/>
      <c r="G204" s="48"/>
      <c r="H204" s="48"/>
      <c r="I204" s="48"/>
      <c r="J204" s="48"/>
      <c r="K204" s="38" t="s">
        <v>2190</v>
      </c>
      <c r="L204" s="48"/>
      <c r="M204" s="48"/>
      <c r="N204" s="48"/>
      <c r="O204" s="50"/>
      <c r="P204" s="52"/>
    </row>
    <row r="205" spans="1:16" ht="15">
      <c r="A205" s="49" t="s">
        <v>4226</v>
      </c>
      <c r="B205" s="7" t="s">
        <v>4227</v>
      </c>
      <c r="C205" s="51"/>
      <c r="D205" s="49" t="s">
        <v>4223</v>
      </c>
      <c r="E205" s="47" t="s">
        <v>4228</v>
      </c>
      <c r="F205" s="47" t="s">
        <v>4229</v>
      </c>
      <c r="G205" s="47"/>
      <c r="H205" s="47" t="s">
        <v>2164</v>
      </c>
      <c r="I205" s="47" t="s">
        <v>2124</v>
      </c>
      <c r="J205" s="47"/>
      <c r="K205" s="39" t="s">
        <v>3774</v>
      </c>
      <c r="L205" s="47" t="s">
        <v>2130</v>
      </c>
      <c r="M205" s="47">
        <v>3</v>
      </c>
      <c r="N205" s="47"/>
      <c r="O205" s="49"/>
      <c r="P205" s="51"/>
    </row>
    <row r="206" spans="1:16" ht="15.75" thickBot="1">
      <c r="A206" s="50"/>
      <c r="B206" s="10" t="s">
        <v>1262</v>
      </c>
      <c r="C206" s="52"/>
      <c r="D206" s="50"/>
      <c r="E206" s="48"/>
      <c r="F206" s="48"/>
      <c r="G206" s="48"/>
      <c r="H206" s="48"/>
      <c r="I206" s="48"/>
      <c r="J206" s="48"/>
      <c r="K206" s="38" t="s">
        <v>2190</v>
      </c>
      <c r="L206" s="48"/>
      <c r="M206" s="48"/>
      <c r="N206" s="48"/>
      <c r="O206" s="50"/>
      <c r="P206" s="52"/>
    </row>
    <row r="207" spans="1:16" ht="15">
      <c r="A207" s="49" t="s">
        <v>4226</v>
      </c>
      <c r="B207" s="7" t="s">
        <v>4230</v>
      </c>
      <c r="C207" s="51" t="s">
        <v>4231</v>
      </c>
      <c r="D207" s="49" t="s">
        <v>4232</v>
      </c>
      <c r="E207" s="47" t="s">
        <v>4233</v>
      </c>
      <c r="F207" s="47" t="s">
        <v>4234</v>
      </c>
      <c r="G207" s="47"/>
      <c r="H207" s="47" t="s">
        <v>2164</v>
      </c>
      <c r="I207" s="47" t="s">
        <v>2124</v>
      </c>
      <c r="J207" s="47"/>
      <c r="K207" s="39" t="s">
        <v>3774</v>
      </c>
      <c r="L207" s="47" t="s">
        <v>2130</v>
      </c>
      <c r="M207" s="47">
        <v>1</v>
      </c>
      <c r="N207" s="47"/>
      <c r="O207" s="49"/>
      <c r="P207" s="51"/>
    </row>
    <row r="208" spans="1:16" ht="15.75" thickBot="1">
      <c r="A208" s="50"/>
      <c r="B208" s="10" t="s">
        <v>1262</v>
      </c>
      <c r="C208" s="52"/>
      <c r="D208" s="50"/>
      <c r="E208" s="48"/>
      <c r="F208" s="48"/>
      <c r="G208" s="48"/>
      <c r="H208" s="48"/>
      <c r="I208" s="48"/>
      <c r="J208" s="48"/>
      <c r="K208" s="38" t="s">
        <v>2190</v>
      </c>
      <c r="L208" s="48"/>
      <c r="M208" s="48"/>
      <c r="N208" s="48"/>
      <c r="O208" s="50"/>
      <c r="P208" s="52"/>
    </row>
    <row r="209" spans="1:16" ht="22.5" customHeight="1">
      <c r="A209" s="49" t="s">
        <v>4235</v>
      </c>
      <c r="B209" s="49" t="s">
        <v>685</v>
      </c>
      <c r="C209" s="51"/>
      <c r="D209" s="49" t="s">
        <v>686</v>
      </c>
      <c r="E209" s="47" t="s">
        <v>687</v>
      </c>
      <c r="F209" s="47" t="s">
        <v>688</v>
      </c>
      <c r="G209" s="47"/>
      <c r="H209" s="47" t="s">
        <v>689</v>
      </c>
      <c r="I209" s="47" t="s">
        <v>2124</v>
      </c>
      <c r="J209" s="47"/>
      <c r="K209" s="39" t="s">
        <v>3774</v>
      </c>
      <c r="L209" s="47" t="s">
        <v>2201</v>
      </c>
      <c r="M209" s="47">
        <v>3</v>
      </c>
      <c r="N209" s="47"/>
      <c r="O209" s="49"/>
      <c r="P209" s="51"/>
    </row>
    <row r="210" spans="1:16" ht="15.75" thickBot="1">
      <c r="A210" s="50"/>
      <c r="B210" s="50"/>
      <c r="C210" s="52"/>
      <c r="D210" s="50"/>
      <c r="E210" s="48"/>
      <c r="F210" s="48"/>
      <c r="G210" s="48"/>
      <c r="H210" s="48"/>
      <c r="I210" s="48"/>
      <c r="J210" s="48"/>
      <c r="K210" s="38" t="s">
        <v>2190</v>
      </c>
      <c r="L210" s="48"/>
      <c r="M210" s="48"/>
      <c r="N210" s="48"/>
      <c r="O210" s="50"/>
      <c r="P210" s="52"/>
    </row>
    <row r="211" spans="1:16" ht="29.25" thickBot="1">
      <c r="A211" s="6" t="s">
        <v>690</v>
      </c>
      <c r="B211" s="10"/>
      <c r="C211" s="11" t="s">
        <v>691</v>
      </c>
      <c r="D211" s="10" t="s">
        <v>2152</v>
      </c>
      <c r="E211" s="38" t="s">
        <v>692</v>
      </c>
      <c r="F211" s="38" t="s">
        <v>2154</v>
      </c>
      <c r="G211" s="38" t="s">
        <v>693</v>
      </c>
      <c r="H211" s="38" t="s">
        <v>1232</v>
      </c>
      <c r="I211" s="38" t="s">
        <v>2124</v>
      </c>
      <c r="J211" s="38"/>
      <c r="K211" s="38" t="s">
        <v>2187</v>
      </c>
      <c r="L211" s="38" t="s">
        <v>2165</v>
      </c>
      <c r="M211" s="38">
        <v>3</v>
      </c>
      <c r="N211" s="38"/>
      <c r="O211" s="10"/>
      <c r="P211" s="25" t="str">
        <f>HYPERLINK("http://biade.itrust.de/biade/lpext.dll?f=id&amp;id=biadb%3Ar%3A022500&amp;t=main-h.htm","22500")</f>
        <v>22500</v>
      </c>
    </row>
    <row r="212" spans="1:16" ht="15.75" thickBot="1">
      <c r="A212" s="17" t="s">
        <v>694</v>
      </c>
      <c r="B212" s="18" t="s">
        <v>695</v>
      </c>
      <c r="C212" s="11" t="s">
        <v>696</v>
      </c>
      <c r="D212" s="10" t="s">
        <v>2152</v>
      </c>
      <c r="E212" s="38" t="s">
        <v>697</v>
      </c>
      <c r="F212" s="38" t="s">
        <v>698</v>
      </c>
      <c r="G212" s="38"/>
      <c r="H212" s="38" t="s">
        <v>3220</v>
      </c>
      <c r="I212" s="38" t="s">
        <v>2124</v>
      </c>
      <c r="J212" s="38"/>
      <c r="K212" s="38" t="s">
        <v>2157</v>
      </c>
      <c r="L212" s="38" t="s">
        <v>2165</v>
      </c>
      <c r="M212" s="38">
        <v>3</v>
      </c>
      <c r="N212" s="38" t="s">
        <v>3993</v>
      </c>
      <c r="O212" s="10"/>
      <c r="P212" s="25" t="str">
        <f>HYPERLINK("http://biade.itrust.de/biade/lpext.dll?f=id&amp;id=biadb%3Ar%3A024020&amp;t=main-h.htm","24020")</f>
        <v>24020</v>
      </c>
    </row>
    <row r="213" spans="1:16" ht="15.75" thickBot="1">
      <c r="A213" s="6" t="s">
        <v>699</v>
      </c>
      <c r="B213" s="10" t="s">
        <v>2121</v>
      </c>
      <c r="C213" s="11" t="s">
        <v>700</v>
      </c>
      <c r="D213" s="10" t="s">
        <v>2128</v>
      </c>
      <c r="E213" s="38" t="s">
        <v>2149</v>
      </c>
      <c r="F213" s="38">
        <v>24</v>
      </c>
      <c r="G213" s="38"/>
      <c r="H213" s="38" t="s">
        <v>2164</v>
      </c>
      <c r="I213" s="38" t="s">
        <v>2124</v>
      </c>
      <c r="J213" s="38"/>
      <c r="K213" s="38"/>
      <c r="L213" s="38" t="s">
        <v>2165</v>
      </c>
      <c r="M213" s="38">
        <v>1</v>
      </c>
      <c r="N213" s="38" t="s">
        <v>2144</v>
      </c>
      <c r="O213" s="10"/>
      <c r="P213" s="25" t="str">
        <f>HYPERLINK("http://biade.itrust.de/biade/lpext.dll?f=id&amp;id=biadb%3Ar%3A022810&amp;t=main-h.htm","22810")</f>
        <v>22810</v>
      </c>
    </row>
    <row r="214" spans="1:16" ht="26.25" thickBot="1">
      <c r="A214" s="6" t="s">
        <v>701</v>
      </c>
      <c r="B214" s="12" t="s">
        <v>1182</v>
      </c>
      <c r="C214" s="11" t="s">
        <v>702</v>
      </c>
      <c r="D214" s="10"/>
      <c r="E214" s="38"/>
      <c r="F214" s="38"/>
      <c r="G214" s="38"/>
      <c r="H214" s="38" t="s">
        <v>2123</v>
      </c>
      <c r="I214" s="38" t="s">
        <v>2124</v>
      </c>
      <c r="J214" s="38"/>
      <c r="K214" s="38"/>
      <c r="L214" s="38" t="s">
        <v>2165</v>
      </c>
      <c r="M214" s="38">
        <v>2</v>
      </c>
      <c r="N214" s="38"/>
      <c r="O214" s="10"/>
      <c r="P214" s="25" t="str">
        <f>HYPERLINK("http://biade.itrust.de/biade/lpext.dll?f=id&amp;id=biadb%3Ar%3A037800&amp;t=main-h.htm","37800")</f>
        <v>37800</v>
      </c>
    </row>
    <row r="215" spans="1:16" ht="15">
      <c r="A215" s="49" t="s">
        <v>703</v>
      </c>
      <c r="B215" s="49"/>
      <c r="C215" s="51" t="s">
        <v>704</v>
      </c>
      <c r="D215" s="49" t="s">
        <v>4071</v>
      </c>
      <c r="E215" s="47" t="s">
        <v>705</v>
      </c>
      <c r="F215" s="47" t="s">
        <v>1231</v>
      </c>
      <c r="G215" s="47" t="s">
        <v>706</v>
      </c>
      <c r="H215" s="47" t="s">
        <v>1232</v>
      </c>
      <c r="I215" s="39">
        <v>3.25</v>
      </c>
      <c r="J215" s="47"/>
      <c r="K215" s="47" t="s">
        <v>2187</v>
      </c>
      <c r="L215" s="47" t="s">
        <v>2130</v>
      </c>
      <c r="M215" s="47">
        <v>3</v>
      </c>
      <c r="N215" s="47"/>
      <c r="O215" s="49"/>
      <c r="P215" s="51"/>
    </row>
    <row r="216" spans="1:16" ht="15.75" thickBot="1">
      <c r="A216" s="50"/>
      <c r="B216" s="50"/>
      <c r="C216" s="52"/>
      <c r="D216" s="50"/>
      <c r="E216" s="48"/>
      <c r="F216" s="48"/>
      <c r="G216" s="48"/>
      <c r="H216" s="48"/>
      <c r="I216" s="38">
        <v>1</v>
      </c>
      <c r="J216" s="48"/>
      <c r="K216" s="48"/>
      <c r="L216" s="48"/>
      <c r="M216" s="48"/>
      <c r="N216" s="48"/>
      <c r="O216" s="50"/>
      <c r="P216" s="52"/>
    </row>
    <row r="217" spans="1:16" ht="15.75" thickBot="1">
      <c r="A217" s="6" t="s">
        <v>707</v>
      </c>
      <c r="B217" s="10" t="s">
        <v>2121</v>
      </c>
      <c r="C217" s="11" t="s">
        <v>708</v>
      </c>
      <c r="D217" s="10" t="s">
        <v>2227</v>
      </c>
      <c r="E217" s="38" t="s">
        <v>3866</v>
      </c>
      <c r="F217" s="38" t="s">
        <v>3884</v>
      </c>
      <c r="G217" s="38"/>
      <c r="H217" s="38" t="s">
        <v>2164</v>
      </c>
      <c r="I217" s="38" t="s">
        <v>2124</v>
      </c>
      <c r="J217" s="38"/>
      <c r="K217" s="38"/>
      <c r="L217" s="38" t="s">
        <v>2130</v>
      </c>
      <c r="M217" s="38">
        <v>1</v>
      </c>
      <c r="N217" s="38"/>
      <c r="O217" s="10"/>
      <c r="P217" s="25" t="str">
        <f>HYPERLINK("http://biade.itrust.de/biade/lpext.dll?f=id&amp;id=biadb%3Ar%3A024280&amp;t=main-h.htm","24280")</f>
        <v>24280</v>
      </c>
    </row>
    <row r="218" spans="1:16" ht="15.75" thickBot="1">
      <c r="A218" s="6" t="s">
        <v>709</v>
      </c>
      <c r="B218" s="10" t="s">
        <v>1181</v>
      </c>
      <c r="C218" s="11" t="s">
        <v>710</v>
      </c>
      <c r="D218" s="10" t="s">
        <v>2128</v>
      </c>
      <c r="E218" s="38" t="s">
        <v>4025</v>
      </c>
      <c r="F218" s="38">
        <v>23</v>
      </c>
      <c r="G218" s="38"/>
      <c r="H218" s="38" t="s">
        <v>2164</v>
      </c>
      <c r="I218" s="38" t="s">
        <v>2124</v>
      </c>
      <c r="J218" s="38"/>
      <c r="K218" s="38"/>
      <c r="L218" s="38" t="s">
        <v>2130</v>
      </c>
      <c r="M218" s="38">
        <v>2</v>
      </c>
      <c r="N218" s="38"/>
      <c r="O218" s="10"/>
      <c r="P218" s="25" t="str">
        <f>HYPERLINK("http://biade.itrust.de/biade/lpext.dll?f=id&amp;id=biadb%3Ar%3A026150&amp;t=main-h.htm","26150")</f>
        <v>26150</v>
      </c>
    </row>
    <row r="219" spans="1:16" ht="15.75" thickBot="1">
      <c r="A219" s="6" t="s">
        <v>711</v>
      </c>
      <c r="B219" s="10" t="s">
        <v>4217</v>
      </c>
      <c r="C219" s="11" t="s">
        <v>712</v>
      </c>
      <c r="D219" s="10" t="s">
        <v>713</v>
      </c>
      <c r="E219" s="38" t="s">
        <v>714</v>
      </c>
      <c r="F219" s="38" t="s">
        <v>715</v>
      </c>
      <c r="G219" s="38"/>
      <c r="H219" s="38" t="s">
        <v>2164</v>
      </c>
      <c r="I219" s="38" t="s">
        <v>2124</v>
      </c>
      <c r="J219" s="38"/>
      <c r="K219" s="38"/>
      <c r="L219" s="38" t="s">
        <v>2130</v>
      </c>
      <c r="M219" s="38">
        <v>2</v>
      </c>
      <c r="N219" s="38" t="s">
        <v>1252</v>
      </c>
      <c r="O219" s="10"/>
      <c r="P219" s="25" t="str">
        <f>HYPERLINK("http://biade.itrust.de/biade/lpext.dll?f=id&amp;id=biadb%3Ar%3A028340&amp;t=main-h.htm","28340")</f>
        <v>28340</v>
      </c>
    </row>
    <row r="220" spans="1:16" ht="15.75" thickBot="1">
      <c r="A220" s="6" t="s">
        <v>716</v>
      </c>
      <c r="B220" s="10" t="s">
        <v>717</v>
      </c>
      <c r="C220" s="11" t="s">
        <v>718</v>
      </c>
      <c r="D220" s="10" t="s">
        <v>2128</v>
      </c>
      <c r="E220" s="38">
        <v>22</v>
      </c>
      <c r="F220" s="38"/>
      <c r="G220" s="38"/>
      <c r="H220" s="38" t="s">
        <v>2164</v>
      </c>
      <c r="I220" s="38" t="s">
        <v>2124</v>
      </c>
      <c r="J220" s="38"/>
      <c r="K220" s="38"/>
      <c r="L220" s="38" t="s">
        <v>2130</v>
      </c>
      <c r="M220" s="38">
        <v>1</v>
      </c>
      <c r="N220" s="38" t="s">
        <v>2144</v>
      </c>
      <c r="O220" s="10"/>
      <c r="P220" s="25" t="str">
        <f>HYPERLINK("http://biade.itrust.de/biade/lpext.dll?f=id&amp;id=biadb%3Ar%3A490110&amp;t=main-h.htm","490110")</f>
        <v>490110</v>
      </c>
    </row>
    <row r="221" spans="1:16" ht="15">
      <c r="A221" s="49" t="s">
        <v>719</v>
      </c>
      <c r="B221" s="7" t="s">
        <v>1180</v>
      </c>
      <c r="C221" s="51" t="s">
        <v>720</v>
      </c>
      <c r="D221" s="49"/>
      <c r="E221" s="47"/>
      <c r="F221" s="47"/>
      <c r="G221" s="47"/>
      <c r="H221" s="47" t="s">
        <v>2123</v>
      </c>
      <c r="I221" s="47" t="s">
        <v>2124</v>
      </c>
      <c r="J221" s="47"/>
      <c r="K221" s="47"/>
      <c r="L221" s="47" t="s">
        <v>2165</v>
      </c>
      <c r="M221" s="47"/>
      <c r="N221" s="47"/>
      <c r="O221" s="49"/>
      <c r="P221" s="51"/>
    </row>
    <row r="222" spans="1:16" ht="15.75" thickBot="1">
      <c r="A222" s="50"/>
      <c r="B222" s="10" t="s">
        <v>1262</v>
      </c>
      <c r="C222" s="52"/>
      <c r="D222" s="50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50"/>
      <c r="P222" s="52"/>
    </row>
    <row r="223" spans="1:16" ht="15.75" thickBot="1">
      <c r="A223" s="6" t="s">
        <v>721</v>
      </c>
      <c r="B223" s="10"/>
      <c r="C223" s="11" t="s">
        <v>722</v>
      </c>
      <c r="D223" s="10" t="s">
        <v>2227</v>
      </c>
      <c r="E223" s="38" t="s">
        <v>723</v>
      </c>
      <c r="F223" s="38" t="s">
        <v>3884</v>
      </c>
      <c r="G223" s="38" t="s">
        <v>2184</v>
      </c>
      <c r="H223" s="38" t="s">
        <v>2164</v>
      </c>
      <c r="I223" s="38" t="s">
        <v>2124</v>
      </c>
      <c r="J223" s="38"/>
      <c r="K223" s="38"/>
      <c r="L223" s="38" t="s">
        <v>2194</v>
      </c>
      <c r="M223" s="38">
        <v>1</v>
      </c>
      <c r="N223" s="38" t="s">
        <v>3792</v>
      </c>
      <c r="O223" s="10"/>
      <c r="P223" s="25" t="str">
        <f>HYPERLINK("http://biade.itrust.de/biade/lpext.dll?f=id&amp;id=biadb%3Ar%3A017150&amp;t=main-h.htm","17150")</f>
        <v>17150</v>
      </c>
    </row>
    <row r="224" spans="1:16" ht="15.75" thickBot="1">
      <c r="A224" s="6" t="s">
        <v>2225</v>
      </c>
      <c r="B224" s="10"/>
      <c r="C224" s="11" t="s">
        <v>724</v>
      </c>
      <c r="D224" s="10" t="s">
        <v>2128</v>
      </c>
      <c r="E224" s="38" t="s">
        <v>1611</v>
      </c>
      <c r="F224" s="38">
        <v>26</v>
      </c>
      <c r="G224" s="38"/>
      <c r="H224" s="38" t="s">
        <v>2164</v>
      </c>
      <c r="I224" s="38" t="s">
        <v>2124</v>
      </c>
      <c r="J224" s="38"/>
      <c r="K224" s="38"/>
      <c r="L224" s="38" t="s">
        <v>2130</v>
      </c>
      <c r="M224" s="38">
        <v>1</v>
      </c>
      <c r="N224" s="38" t="s">
        <v>2144</v>
      </c>
      <c r="O224" s="10"/>
      <c r="P224" s="25" t="str">
        <f>HYPERLINK("http://biade.itrust.de/biade/lpext.dll?f=id&amp;id=biadb%3Ar%3A020370&amp;t=main-h.htm","20370")</f>
        <v>20370</v>
      </c>
    </row>
    <row r="225" spans="1:16" ht="15.75" thickBot="1">
      <c r="A225" s="6" t="s">
        <v>725</v>
      </c>
      <c r="B225" s="10" t="s">
        <v>726</v>
      </c>
      <c r="C225" s="11" t="s">
        <v>727</v>
      </c>
      <c r="D225" s="10" t="s">
        <v>2227</v>
      </c>
      <c r="E225" s="38" t="s">
        <v>728</v>
      </c>
      <c r="F225" s="38" t="s">
        <v>3884</v>
      </c>
      <c r="G225" s="38"/>
      <c r="H225" s="38" t="s">
        <v>2164</v>
      </c>
      <c r="I225" s="38" t="s">
        <v>2124</v>
      </c>
      <c r="J225" s="38"/>
      <c r="K225" s="38"/>
      <c r="L225" s="38" t="s">
        <v>2130</v>
      </c>
      <c r="M225" s="38">
        <v>1</v>
      </c>
      <c r="N225" s="38"/>
      <c r="O225" s="10"/>
      <c r="P225" s="25" t="str">
        <f>HYPERLINK("http://biade.itrust.de/biade/lpext.dll?f=id&amp;id=biadb%3Ar%3A016550&amp;t=main-h.htm","16550")</f>
        <v>16550</v>
      </c>
    </row>
    <row r="226" spans="1:16" ht="15.75" thickBot="1">
      <c r="A226" s="6" t="s">
        <v>729</v>
      </c>
      <c r="B226" s="10" t="s">
        <v>1179</v>
      </c>
      <c r="C226" s="11" t="s">
        <v>730</v>
      </c>
      <c r="D226" s="10" t="s">
        <v>2128</v>
      </c>
      <c r="E226" s="38">
        <v>22</v>
      </c>
      <c r="F226" s="38">
        <v>25</v>
      </c>
      <c r="G226" s="38"/>
      <c r="H226" s="38" t="s">
        <v>2164</v>
      </c>
      <c r="I226" s="38" t="s">
        <v>2124</v>
      </c>
      <c r="J226" s="38"/>
      <c r="K226" s="38"/>
      <c r="L226" s="38" t="s">
        <v>2130</v>
      </c>
      <c r="M226" s="38">
        <v>2</v>
      </c>
      <c r="N226" s="38"/>
      <c r="O226" s="10"/>
      <c r="P226" s="25" t="str">
        <f>HYPERLINK("http://biade.itrust.de/biade/lpext.dll?f=id&amp;id=biadb%3Ar%3A032060&amp;t=main-h.htm","32060")</f>
        <v>32060</v>
      </c>
    </row>
    <row r="227" spans="1:16" ht="15.75" thickBot="1">
      <c r="A227" s="6" t="s">
        <v>731</v>
      </c>
      <c r="B227" s="10" t="s">
        <v>732</v>
      </c>
      <c r="C227" s="11" t="s">
        <v>733</v>
      </c>
      <c r="D227" s="10" t="s">
        <v>4010</v>
      </c>
      <c r="E227" s="38" t="s">
        <v>734</v>
      </c>
      <c r="F227" s="38" t="s">
        <v>735</v>
      </c>
      <c r="G227" s="38"/>
      <c r="H227" s="38" t="s">
        <v>1224</v>
      </c>
      <c r="I227" s="38" t="s">
        <v>2124</v>
      </c>
      <c r="J227" s="38"/>
      <c r="K227" s="38"/>
      <c r="L227" s="38" t="s">
        <v>2130</v>
      </c>
      <c r="M227" s="38">
        <v>3</v>
      </c>
      <c r="N227" s="38"/>
      <c r="O227" s="10"/>
      <c r="P227" s="25" t="str">
        <f>HYPERLINK("http://biade.itrust.de/biade/lpext.dll?f=id&amp;id=biadb%3Ar%3A022780&amp;t=main-h.htm","22780")</f>
        <v>22780</v>
      </c>
    </row>
    <row r="228" spans="1:16" ht="26.25" thickBot="1">
      <c r="A228" s="6" t="s">
        <v>927</v>
      </c>
      <c r="B228" s="10" t="s">
        <v>736</v>
      </c>
      <c r="C228" s="11" t="s">
        <v>737</v>
      </c>
      <c r="D228" s="10"/>
      <c r="E228" s="38"/>
      <c r="F228" s="38"/>
      <c r="G228" s="38"/>
      <c r="H228" s="38" t="s">
        <v>2123</v>
      </c>
      <c r="I228" s="38" t="s">
        <v>2124</v>
      </c>
      <c r="J228" s="38"/>
      <c r="K228" s="38"/>
      <c r="L228" s="38" t="s">
        <v>2130</v>
      </c>
      <c r="M228" s="38"/>
      <c r="N228" s="38"/>
      <c r="O228" s="10"/>
      <c r="P228" s="11"/>
    </row>
    <row r="229" spans="1:16" ht="26.25" thickBot="1">
      <c r="A229" s="6" t="s">
        <v>928</v>
      </c>
      <c r="B229" s="10" t="s">
        <v>738</v>
      </c>
      <c r="C229" s="11" t="s">
        <v>739</v>
      </c>
      <c r="D229" s="10" t="s">
        <v>2134</v>
      </c>
      <c r="E229" s="38" t="s">
        <v>2162</v>
      </c>
      <c r="F229" s="38" t="s">
        <v>740</v>
      </c>
      <c r="G229" s="38"/>
      <c r="H229" s="38" t="s">
        <v>2164</v>
      </c>
      <c r="I229" s="38"/>
      <c r="J229" s="38"/>
      <c r="K229" s="38"/>
      <c r="L229" s="38" t="s">
        <v>2165</v>
      </c>
      <c r="M229" s="38">
        <v>1</v>
      </c>
      <c r="N229" s="38"/>
      <c r="O229" s="10"/>
      <c r="P229" s="25" t="str">
        <f>HYPERLINK("http://biade.itrust.de/biade/lpext.dll?f=id&amp;id=biadb%3Ar%3A030510&amp;t=main-h.htm","30510")</f>
        <v>30510</v>
      </c>
    </row>
    <row r="230" spans="1:16" ht="15.75" thickBot="1">
      <c r="A230" s="6" t="s">
        <v>741</v>
      </c>
      <c r="B230" s="10" t="s">
        <v>2121</v>
      </c>
      <c r="C230" s="11" t="s">
        <v>742</v>
      </c>
      <c r="D230" s="10" t="s">
        <v>2134</v>
      </c>
      <c r="E230" s="38">
        <v>36</v>
      </c>
      <c r="F230" s="38">
        <v>26</v>
      </c>
      <c r="G230" s="38"/>
      <c r="H230" s="38" t="s">
        <v>2164</v>
      </c>
      <c r="I230" s="38" t="s">
        <v>2124</v>
      </c>
      <c r="J230" s="38"/>
      <c r="K230" s="38"/>
      <c r="L230" s="38" t="s">
        <v>2165</v>
      </c>
      <c r="M230" s="38">
        <v>1</v>
      </c>
      <c r="N230" s="38" t="s">
        <v>1252</v>
      </c>
      <c r="O230" s="10"/>
      <c r="P230" s="25" t="str">
        <f>HYPERLINK("http://biade.itrust.de/biade/lpext.dll?f=id&amp;id=biadb%3Ar%3A037700&amp;t=main-h.htm","37700")</f>
        <v>37700</v>
      </c>
    </row>
    <row r="231" spans="1:16" ht="15.75" thickBot="1">
      <c r="A231" s="6" t="s">
        <v>743</v>
      </c>
      <c r="B231" s="10" t="s">
        <v>2121</v>
      </c>
      <c r="C231" s="11" t="s">
        <v>744</v>
      </c>
      <c r="D231" s="10" t="s">
        <v>2128</v>
      </c>
      <c r="E231" s="38" t="s">
        <v>4102</v>
      </c>
      <c r="F231" s="38" t="s">
        <v>745</v>
      </c>
      <c r="G231" s="38"/>
      <c r="H231" s="38" t="s">
        <v>2164</v>
      </c>
      <c r="I231" s="38" t="s">
        <v>2124</v>
      </c>
      <c r="J231" s="38"/>
      <c r="K231" s="38"/>
      <c r="L231" s="38" t="s">
        <v>2165</v>
      </c>
      <c r="M231" s="38">
        <v>1</v>
      </c>
      <c r="N231" s="38" t="s">
        <v>746</v>
      </c>
      <c r="O231" s="10"/>
      <c r="P231" s="25" t="str">
        <f>HYPERLINK("http://biade.itrust.de/biade/lpext.dll?f=id&amp;id=biadb%3Ar%3A033430&amp;t=main-h.htm","33430")</f>
        <v>33430</v>
      </c>
    </row>
    <row r="232" spans="1:16" ht="15.75" thickBot="1">
      <c r="A232" s="6" t="s">
        <v>747</v>
      </c>
      <c r="B232" s="10" t="s">
        <v>2132</v>
      </c>
      <c r="C232" s="11" t="s">
        <v>748</v>
      </c>
      <c r="D232" s="10" t="s">
        <v>4010</v>
      </c>
      <c r="E232" s="38" t="s">
        <v>749</v>
      </c>
      <c r="F232" s="38" t="s">
        <v>1231</v>
      </c>
      <c r="G232" s="38" t="s">
        <v>2155</v>
      </c>
      <c r="H232" s="38" t="s">
        <v>750</v>
      </c>
      <c r="I232" s="38" t="s">
        <v>2124</v>
      </c>
      <c r="J232" s="38"/>
      <c r="K232" s="38" t="s">
        <v>2157</v>
      </c>
      <c r="L232" s="38" t="s">
        <v>2136</v>
      </c>
      <c r="M232" s="38">
        <v>1</v>
      </c>
      <c r="N232" s="38"/>
      <c r="O232" s="10"/>
      <c r="P232" s="25" t="str">
        <f>HYPERLINK("http://biade.itrust.de/biade/lpext.dll?f=id&amp;id=biadb%3Ar%3A008020&amp;t=main-h.htm","8020")</f>
        <v>8020</v>
      </c>
    </row>
    <row r="233" spans="1:16" ht="15.75" thickBot="1">
      <c r="A233" s="6" t="s">
        <v>751</v>
      </c>
      <c r="B233" s="10" t="s">
        <v>752</v>
      </c>
      <c r="C233" s="11" t="s">
        <v>753</v>
      </c>
      <c r="D233" s="10"/>
      <c r="E233" s="38"/>
      <c r="F233" s="38"/>
      <c r="G233" s="38"/>
      <c r="H233" s="38" t="s">
        <v>2123</v>
      </c>
      <c r="I233" s="38" t="s">
        <v>2124</v>
      </c>
      <c r="J233" s="38"/>
      <c r="K233" s="38"/>
      <c r="L233" s="38" t="s">
        <v>2125</v>
      </c>
      <c r="M233" s="38"/>
      <c r="N233" s="38"/>
      <c r="O233" s="10"/>
      <c r="P233" s="11"/>
    </row>
    <row r="234" spans="1:16" ht="15.75" thickBot="1">
      <c r="A234" s="21" t="s">
        <v>754</v>
      </c>
      <c r="B234" s="22" t="s">
        <v>755</v>
      </c>
      <c r="C234" s="23" t="s">
        <v>756</v>
      </c>
      <c r="D234" s="22" t="s">
        <v>713</v>
      </c>
      <c r="E234" s="43" t="s">
        <v>714</v>
      </c>
      <c r="F234" s="43" t="s">
        <v>757</v>
      </c>
      <c r="G234" s="43" t="s">
        <v>2183</v>
      </c>
      <c r="H234" s="43" t="s">
        <v>2164</v>
      </c>
      <c r="I234" s="43" t="s">
        <v>2124</v>
      </c>
      <c r="J234" s="43"/>
      <c r="K234" s="43"/>
      <c r="L234" s="43" t="s">
        <v>2165</v>
      </c>
      <c r="M234" s="43">
        <v>2</v>
      </c>
      <c r="N234" s="43"/>
      <c r="O234" s="22"/>
      <c r="P234" s="35" t="str">
        <f>HYPERLINK("http://biade.itrust.de/biade/lpext.dll?f=id&amp;id=biadb%3Ar%3A013450&amp;t=main-h.htm","13450")</f>
        <v>13450</v>
      </c>
    </row>
    <row r="235" spans="1:16" ht="15.75" thickBot="1">
      <c r="A235" s="6" t="s">
        <v>758</v>
      </c>
      <c r="B235" s="10" t="s">
        <v>1178</v>
      </c>
      <c r="C235" s="11" t="s">
        <v>759</v>
      </c>
      <c r="D235" s="10" t="s">
        <v>1229</v>
      </c>
      <c r="E235" s="38" t="s">
        <v>760</v>
      </c>
      <c r="F235" s="38" t="s">
        <v>761</v>
      </c>
      <c r="G235" s="38"/>
      <c r="H235" s="38" t="s">
        <v>762</v>
      </c>
      <c r="I235" s="38" t="s">
        <v>2124</v>
      </c>
      <c r="J235" s="38"/>
      <c r="K235" s="38" t="s">
        <v>2157</v>
      </c>
      <c r="L235" s="38" t="s">
        <v>2130</v>
      </c>
      <c r="M235" s="38">
        <v>3</v>
      </c>
      <c r="N235" s="38"/>
      <c r="O235" s="10"/>
      <c r="P235" s="25" t="str">
        <f>HYPERLINK("http://biade.itrust.de/biade/lpext.dll?f=id&amp;id=biadb%3Ar%3A103446&amp;t=main-h.htm","103446")</f>
        <v>103446</v>
      </c>
    </row>
    <row r="236" spans="1:16" ht="26.25" thickBot="1">
      <c r="A236" s="6" t="s">
        <v>763</v>
      </c>
      <c r="B236" s="10" t="s">
        <v>1177</v>
      </c>
      <c r="C236" s="11" t="s">
        <v>764</v>
      </c>
      <c r="D236" s="10" t="s">
        <v>1229</v>
      </c>
      <c r="E236" s="38" t="s">
        <v>765</v>
      </c>
      <c r="F236" s="38" t="s">
        <v>1231</v>
      </c>
      <c r="G236" s="38" t="s">
        <v>766</v>
      </c>
      <c r="H236" s="38" t="s">
        <v>767</v>
      </c>
      <c r="I236" s="38">
        <v>10</v>
      </c>
      <c r="J236" s="38">
        <v>8</v>
      </c>
      <c r="K236" s="38" t="s">
        <v>2189</v>
      </c>
      <c r="L236" s="38" t="s">
        <v>2130</v>
      </c>
      <c r="M236" s="38">
        <v>1</v>
      </c>
      <c r="N236" s="38"/>
      <c r="O236" s="10"/>
      <c r="P236" s="25" t="str">
        <f>HYPERLINK("http://biade.itrust.de/biade/lpext.dll?f=id&amp;id=biadb%3Ar%3A017700&amp;t=main-h.htm","17700")</f>
        <v>17700</v>
      </c>
    </row>
    <row r="237" spans="1:16" ht="15" customHeight="1">
      <c r="A237" s="49" t="s">
        <v>768</v>
      </c>
      <c r="B237" s="7" t="s">
        <v>769</v>
      </c>
      <c r="C237" s="51" t="s">
        <v>771</v>
      </c>
      <c r="D237" s="49" t="s">
        <v>3859</v>
      </c>
      <c r="E237" s="47">
        <v>11</v>
      </c>
      <c r="F237" s="47">
        <v>16</v>
      </c>
      <c r="G237" s="47"/>
      <c r="H237" s="47" t="s">
        <v>2129</v>
      </c>
      <c r="I237" s="47" t="s">
        <v>2124</v>
      </c>
      <c r="J237" s="47"/>
      <c r="K237" s="47"/>
      <c r="L237" s="47" t="s">
        <v>2136</v>
      </c>
      <c r="M237" s="47" t="s">
        <v>2221</v>
      </c>
      <c r="N237" s="47"/>
      <c r="O237" s="49"/>
      <c r="P237" s="51"/>
    </row>
    <row r="238" spans="1:16" ht="26.25" customHeight="1" thickBot="1">
      <c r="A238" s="50"/>
      <c r="B238" s="10" t="s">
        <v>770</v>
      </c>
      <c r="C238" s="52"/>
      <c r="D238" s="50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50"/>
      <c r="P238" s="52"/>
    </row>
    <row r="239" spans="1:16" ht="15.75" thickBot="1">
      <c r="A239" s="6" t="s">
        <v>772</v>
      </c>
      <c r="B239" s="10" t="s">
        <v>1176</v>
      </c>
      <c r="C239" s="11" t="s">
        <v>773</v>
      </c>
      <c r="D239" s="10" t="s">
        <v>2134</v>
      </c>
      <c r="E239" s="38" t="s">
        <v>2135</v>
      </c>
      <c r="F239" s="44"/>
      <c r="G239" s="38"/>
      <c r="H239" s="38" t="s">
        <v>2164</v>
      </c>
      <c r="I239" s="38"/>
      <c r="J239" s="38"/>
      <c r="K239" s="38"/>
      <c r="L239" s="38" t="s">
        <v>2136</v>
      </c>
      <c r="M239" s="38">
        <v>2</v>
      </c>
      <c r="N239" s="38"/>
      <c r="O239" s="10"/>
      <c r="P239" s="11"/>
    </row>
    <row r="240" spans="1:16" ht="15.75" thickBot="1">
      <c r="A240" s="6" t="s">
        <v>774</v>
      </c>
      <c r="B240" s="10" t="s">
        <v>2121</v>
      </c>
      <c r="C240" s="11" t="s">
        <v>775</v>
      </c>
      <c r="D240" s="10"/>
      <c r="E240" s="38"/>
      <c r="F240" s="38"/>
      <c r="G240" s="38"/>
      <c r="H240" s="38" t="s">
        <v>2123</v>
      </c>
      <c r="I240" s="38" t="s">
        <v>2124</v>
      </c>
      <c r="J240" s="38"/>
      <c r="K240" s="38"/>
      <c r="L240" s="38" t="s">
        <v>2136</v>
      </c>
      <c r="M240" s="38">
        <v>2</v>
      </c>
      <c r="N240" s="38"/>
      <c r="O240" s="10"/>
      <c r="P240" s="25" t="str">
        <f>HYPERLINK("http://biade.itrust.de/biade/lpext.dll?f=id&amp;id=biadb%3Ar%3A002020&amp;t=main-h.htm","2020")</f>
        <v>2020</v>
      </c>
    </row>
    <row r="241" spans="1:16" ht="15.75" thickBot="1">
      <c r="A241" s="6" t="s">
        <v>776</v>
      </c>
      <c r="B241" s="10" t="s">
        <v>2121</v>
      </c>
      <c r="C241" s="11" t="s">
        <v>777</v>
      </c>
      <c r="D241" s="10"/>
      <c r="E241" s="38"/>
      <c r="F241" s="38"/>
      <c r="G241" s="38"/>
      <c r="H241" s="38" t="s">
        <v>2123</v>
      </c>
      <c r="I241" s="38" t="s">
        <v>2124</v>
      </c>
      <c r="J241" s="38"/>
      <c r="K241" s="38"/>
      <c r="L241" s="38" t="s">
        <v>2136</v>
      </c>
      <c r="M241" s="38">
        <v>2</v>
      </c>
      <c r="N241" s="38"/>
      <c r="O241" s="10"/>
      <c r="P241" s="11"/>
    </row>
    <row r="242" spans="1:16" ht="15">
      <c r="A242" s="49" t="s">
        <v>778</v>
      </c>
      <c r="B242" s="7" t="s">
        <v>779</v>
      </c>
      <c r="C242" s="51" t="s">
        <v>780</v>
      </c>
      <c r="D242" s="49" t="s">
        <v>2152</v>
      </c>
      <c r="E242" s="47" t="s">
        <v>781</v>
      </c>
      <c r="F242" s="47" t="s">
        <v>2154</v>
      </c>
      <c r="G242" s="47" t="s">
        <v>782</v>
      </c>
      <c r="H242" s="47" t="s">
        <v>783</v>
      </c>
      <c r="I242" s="39" t="s">
        <v>784</v>
      </c>
      <c r="J242" s="47"/>
      <c r="K242" s="47" t="s">
        <v>2157</v>
      </c>
      <c r="L242" s="47" t="s">
        <v>2136</v>
      </c>
      <c r="M242" s="47" t="s">
        <v>2221</v>
      </c>
      <c r="N242" s="47"/>
      <c r="O242" s="49"/>
      <c r="P242" s="51"/>
    </row>
    <row r="243" spans="1:16" ht="15.75" thickBot="1">
      <c r="A243" s="50"/>
      <c r="B243" s="10" t="s">
        <v>2121</v>
      </c>
      <c r="C243" s="52"/>
      <c r="D243" s="50"/>
      <c r="E243" s="48"/>
      <c r="F243" s="48"/>
      <c r="G243" s="48"/>
      <c r="H243" s="48"/>
      <c r="I243" s="38" t="s">
        <v>2124</v>
      </c>
      <c r="J243" s="48"/>
      <c r="K243" s="48"/>
      <c r="L243" s="48"/>
      <c r="M243" s="48"/>
      <c r="N243" s="48"/>
      <c r="O243" s="50"/>
      <c r="P243" s="52"/>
    </row>
    <row r="244" spans="1:16" ht="15" customHeight="1">
      <c r="A244" s="5" t="s">
        <v>785</v>
      </c>
      <c r="B244" s="49"/>
      <c r="C244" s="51" t="s">
        <v>786</v>
      </c>
      <c r="D244" s="49" t="s">
        <v>2152</v>
      </c>
      <c r="E244" s="47" t="s">
        <v>787</v>
      </c>
      <c r="F244" s="47" t="s">
        <v>2154</v>
      </c>
      <c r="G244" s="47" t="s">
        <v>788</v>
      </c>
      <c r="H244" s="47" t="s">
        <v>789</v>
      </c>
      <c r="I244" s="39" t="s">
        <v>784</v>
      </c>
      <c r="J244" s="47"/>
      <c r="K244" s="47" t="s">
        <v>2157</v>
      </c>
      <c r="L244" s="47" t="s">
        <v>2136</v>
      </c>
      <c r="M244" s="47">
        <v>3</v>
      </c>
      <c r="N244" s="47"/>
      <c r="O244" s="49"/>
      <c r="P244" s="51"/>
    </row>
    <row r="245" spans="1:16" ht="15">
      <c r="A245" s="5" t="s">
        <v>2160</v>
      </c>
      <c r="B245" s="56"/>
      <c r="C245" s="57"/>
      <c r="D245" s="56"/>
      <c r="E245" s="55"/>
      <c r="F245" s="55"/>
      <c r="G245" s="55"/>
      <c r="H245" s="55"/>
      <c r="I245" s="39" t="s">
        <v>2124</v>
      </c>
      <c r="J245" s="55"/>
      <c r="K245" s="55"/>
      <c r="L245" s="55"/>
      <c r="M245" s="55"/>
      <c r="N245" s="55"/>
      <c r="O245" s="56"/>
      <c r="P245" s="57"/>
    </row>
    <row r="246" spans="1:16" ht="15.75" thickBot="1">
      <c r="A246" s="6"/>
      <c r="B246" s="50"/>
      <c r="C246" s="52"/>
      <c r="D246" s="50"/>
      <c r="E246" s="48"/>
      <c r="F246" s="48"/>
      <c r="G246" s="48"/>
      <c r="H246" s="48"/>
      <c r="I246" s="40"/>
      <c r="J246" s="48"/>
      <c r="K246" s="48"/>
      <c r="L246" s="48"/>
      <c r="M246" s="48"/>
      <c r="N246" s="48"/>
      <c r="O246" s="50"/>
      <c r="P246" s="52"/>
    </row>
    <row r="247" spans="1:16" ht="15" customHeight="1">
      <c r="A247" s="49" t="s">
        <v>929</v>
      </c>
      <c r="B247" s="49" t="s">
        <v>1175</v>
      </c>
      <c r="C247" s="51" t="s">
        <v>790</v>
      </c>
      <c r="D247" s="49" t="s">
        <v>2152</v>
      </c>
      <c r="E247" s="47" t="s">
        <v>791</v>
      </c>
      <c r="F247" s="47" t="s">
        <v>2154</v>
      </c>
      <c r="G247" s="47" t="s">
        <v>792</v>
      </c>
      <c r="H247" s="47" t="s">
        <v>789</v>
      </c>
      <c r="I247" s="39" t="s">
        <v>784</v>
      </c>
      <c r="J247" s="47"/>
      <c r="K247" s="47" t="s">
        <v>2157</v>
      </c>
      <c r="L247" s="47" t="s">
        <v>2136</v>
      </c>
      <c r="M247" s="47">
        <v>2</v>
      </c>
      <c r="N247" s="47"/>
      <c r="O247" s="49"/>
      <c r="P247" s="51"/>
    </row>
    <row r="248" spans="1:16" ht="15">
      <c r="A248" s="56"/>
      <c r="B248" s="56"/>
      <c r="C248" s="57"/>
      <c r="D248" s="56"/>
      <c r="E248" s="55"/>
      <c r="F248" s="55"/>
      <c r="G248" s="55"/>
      <c r="H248" s="55"/>
      <c r="I248" s="39" t="s">
        <v>2124</v>
      </c>
      <c r="J248" s="55"/>
      <c r="K248" s="55"/>
      <c r="L248" s="55"/>
      <c r="M248" s="55"/>
      <c r="N248" s="55"/>
      <c r="O248" s="56"/>
      <c r="P248" s="57"/>
    </row>
    <row r="249" spans="1:16" ht="15.75" thickBot="1">
      <c r="A249" s="50"/>
      <c r="B249" s="50"/>
      <c r="C249" s="52"/>
      <c r="D249" s="50"/>
      <c r="E249" s="48"/>
      <c r="F249" s="48"/>
      <c r="G249" s="48"/>
      <c r="H249" s="48"/>
      <c r="I249" s="40"/>
      <c r="J249" s="48"/>
      <c r="K249" s="48"/>
      <c r="L249" s="48"/>
      <c r="M249" s="48"/>
      <c r="N249" s="48"/>
      <c r="O249" s="50"/>
      <c r="P249" s="52"/>
    </row>
    <row r="250" spans="1:16" ht="15" customHeight="1">
      <c r="A250" s="5" t="s">
        <v>793</v>
      </c>
      <c r="B250" s="49"/>
      <c r="C250" s="51" t="s">
        <v>795</v>
      </c>
      <c r="D250" s="49" t="s">
        <v>2152</v>
      </c>
      <c r="E250" s="47" t="s">
        <v>787</v>
      </c>
      <c r="F250" s="47" t="s">
        <v>2154</v>
      </c>
      <c r="G250" s="47" t="s">
        <v>782</v>
      </c>
      <c r="H250" s="47" t="s">
        <v>750</v>
      </c>
      <c r="I250" s="39" t="s">
        <v>784</v>
      </c>
      <c r="J250" s="47"/>
      <c r="K250" s="47" t="s">
        <v>2157</v>
      </c>
      <c r="L250" s="47" t="s">
        <v>2136</v>
      </c>
      <c r="M250" s="47">
        <v>3</v>
      </c>
      <c r="N250" s="47"/>
      <c r="O250" s="49"/>
      <c r="P250" s="51"/>
    </row>
    <row r="251" spans="1:16" ht="15.75" thickBot="1">
      <c r="A251" s="6" t="s">
        <v>794</v>
      </c>
      <c r="B251" s="50"/>
      <c r="C251" s="52"/>
      <c r="D251" s="50"/>
      <c r="E251" s="48"/>
      <c r="F251" s="48"/>
      <c r="G251" s="48"/>
      <c r="H251" s="48"/>
      <c r="I251" s="38" t="s">
        <v>2124</v>
      </c>
      <c r="J251" s="48"/>
      <c r="K251" s="48"/>
      <c r="L251" s="48"/>
      <c r="M251" s="48"/>
      <c r="N251" s="48"/>
      <c r="O251" s="50"/>
      <c r="P251" s="52"/>
    </row>
    <row r="252" spans="1:16" ht="15" customHeight="1">
      <c r="A252" s="49" t="s">
        <v>796</v>
      </c>
      <c r="B252" s="49"/>
      <c r="C252" s="51" t="s">
        <v>797</v>
      </c>
      <c r="D252" s="49" t="s">
        <v>798</v>
      </c>
      <c r="E252" s="47" t="s">
        <v>799</v>
      </c>
      <c r="F252" s="47" t="s">
        <v>2154</v>
      </c>
      <c r="G252" s="47" t="s">
        <v>782</v>
      </c>
      <c r="H252" s="47" t="s">
        <v>789</v>
      </c>
      <c r="I252" s="39" t="s">
        <v>784</v>
      </c>
      <c r="J252" s="47"/>
      <c r="K252" s="47" t="s">
        <v>2157</v>
      </c>
      <c r="L252" s="47" t="s">
        <v>2200</v>
      </c>
      <c r="M252" s="47">
        <v>3</v>
      </c>
      <c r="N252" s="47"/>
      <c r="O252" s="49"/>
      <c r="P252" s="51"/>
    </row>
    <row r="253" spans="1:16" ht="15.75" thickBot="1">
      <c r="A253" s="50"/>
      <c r="B253" s="50"/>
      <c r="C253" s="52"/>
      <c r="D253" s="50"/>
      <c r="E253" s="48"/>
      <c r="F253" s="48"/>
      <c r="G253" s="48"/>
      <c r="H253" s="48"/>
      <c r="I253" s="38" t="s">
        <v>2124</v>
      </c>
      <c r="J253" s="48"/>
      <c r="K253" s="48"/>
      <c r="L253" s="48"/>
      <c r="M253" s="48"/>
      <c r="N253" s="48"/>
      <c r="O253" s="50"/>
      <c r="P253" s="52"/>
    </row>
    <row r="254" spans="1:16" ht="15" customHeight="1">
      <c r="A254" s="49" t="s">
        <v>800</v>
      </c>
      <c r="B254" s="49" t="s">
        <v>2132</v>
      </c>
      <c r="C254" s="51" t="s">
        <v>801</v>
      </c>
      <c r="D254" s="49" t="s">
        <v>2152</v>
      </c>
      <c r="E254" s="47" t="s">
        <v>781</v>
      </c>
      <c r="F254" s="47" t="s">
        <v>2154</v>
      </c>
      <c r="G254" s="47" t="s">
        <v>782</v>
      </c>
      <c r="H254" s="47" t="s">
        <v>789</v>
      </c>
      <c r="I254" s="39" t="s">
        <v>784</v>
      </c>
      <c r="J254" s="47"/>
      <c r="K254" s="47" t="s">
        <v>2157</v>
      </c>
      <c r="L254" s="47" t="s">
        <v>2136</v>
      </c>
      <c r="M254" s="47">
        <v>3</v>
      </c>
      <c r="N254" s="47" t="s">
        <v>172</v>
      </c>
      <c r="O254" s="49"/>
      <c r="P254" s="51"/>
    </row>
    <row r="255" spans="1:16" ht="15.75" thickBot="1">
      <c r="A255" s="50"/>
      <c r="B255" s="50"/>
      <c r="C255" s="52"/>
      <c r="D255" s="50"/>
      <c r="E255" s="48"/>
      <c r="F255" s="48"/>
      <c r="G255" s="48"/>
      <c r="H255" s="48"/>
      <c r="I255" s="38" t="s">
        <v>2124</v>
      </c>
      <c r="J255" s="48"/>
      <c r="K255" s="48"/>
      <c r="L255" s="48"/>
      <c r="M255" s="48"/>
      <c r="N255" s="48"/>
      <c r="O255" s="50"/>
      <c r="P255" s="52"/>
    </row>
    <row r="256" spans="1:16" ht="15" customHeight="1">
      <c r="A256" s="49" t="s">
        <v>802</v>
      </c>
      <c r="B256" s="49" t="s">
        <v>2121</v>
      </c>
      <c r="C256" s="51" t="s">
        <v>803</v>
      </c>
      <c r="D256" s="49" t="s">
        <v>2152</v>
      </c>
      <c r="E256" s="47" t="s">
        <v>781</v>
      </c>
      <c r="F256" s="47" t="s">
        <v>2154</v>
      </c>
      <c r="G256" s="47" t="s">
        <v>804</v>
      </c>
      <c r="H256" s="47" t="s">
        <v>789</v>
      </c>
      <c r="I256" s="39" t="s">
        <v>784</v>
      </c>
      <c r="J256" s="47"/>
      <c r="K256" s="47" t="s">
        <v>2157</v>
      </c>
      <c r="L256" s="47" t="s">
        <v>2136</v>
      </c>
      <c r="M256" s="47">
        <v>3</v>
      </c>
      <c r="N256" s="47" t="s">
        <v>172</v>
      </c>
      <c r="O256" s="49"/>
      <c r="P256" s="51"/>
    </row>
    <row r="257" spans="1:16" ht="15.75" thickBot="1">
      <c r="A257" s="50"/>
      <c r="B257" s="50"/>
      <c r="C257" s="52"/>
      <c r="D257" s="50"/>
      <c r="E257" s="48"/>
      <c r="F257" s="48"/>
      <c r="G257" s="48"/>
      <c r="H257" s="48"/>
      <c r="I257" s="38" t="s">
        <v>2124</v>
      </c>
      <c r="J257" s="48"/>
      <c r="K257" s="48"/>
      <c r="L257" s="48"/>
      <c r="M257" s="48"/>
      <c r="N257" s="48"/>
      <c r="O257" s="50"/>
      <c r="P257" s="52"/>
    </row>
    <row r="258" spans="1:16" ht="15" customHeight="1">
      <c r="A258" s="49" t="s">
        <v>805</v>
      </c>
      <c r="B258" s="49" t="s">
        <v>806</v>
      </c>
      <c r="C258" s="51" t="s">
        <v>807</v>
      </c>
      <c r="D258" s="49" t="s">
        <v>2152</v>
      </c>
      <c r="E258" s="47" t="s">
        <v>808</v>
      </c>
      <c r="F258" s="47" t="s">
        <v>2154</v>
      </c>
      <c r="G258" s="47" t="s">
        <v>782</v>
      </c>
      <c r="H258" s="47" t="s">
        <v>789</v>
      </c>
      <c r="I258" s="39" t="s">
        <v>784</v>
      </c>
      <c r="J258" s="47"/>
      <c r="K258" s="47" t="s">
        <v>2157</v>
      </c>
      <c r="L258" s="47" t="s">
        <v>2158</v>
      </c>
      <c r="M258" s="47">
        <v>3</v>
      </c>
      <c r="N258" s="47"/>
      <c r="O258" s="49"/>
      <c r="P258" s="51"/>
    </row>
    <row r="259" spans="1:16" ht="15.75" thickBot="1">
      <c r="A259" s="50"/>
      <c r="B259" s="50"/>
      <c r="C259" s="52"/>
      <c r="D259" s="50"/>
      <c r="E259" s="48"/>
      <c r="F259" s="48"/>
      <c r="G259" s="48"/>
      <c r="H259" s="48"/>
      <c r="I259" s="38" t="s">
        <v>2124</v>
      </c>
      <c r="J259" s="48"/>
      <c r="K259" s="48"/>
      <c r="L259" s="48"/>
      <c r="M259" s="48"/>
      <c r="N259" s="48"/>
      <c r="O259" s="50"/>
      <c r="P259" s="52"/>
    </row>
    <row r="260" spans="1:16" ht="22.5" customHeight="1">
      <c r="A260" s="49" t="s">
        <v>930</v>
      </c>
      <c r="B260" s="49" t="s">
        <v>809</v>
      </c>
      <c r="C260" s="51" t="s">
        <v>810</v>
      </c>
      <c r="D260" s="49" t="s">
        <v>2152</v>
      </c>
      <c r="E260" s="47" t="s">
        <v>781</v>
      </c>
      <c r="F260" s="47" t="s">
        <v>2154</v>
      </c>
      <c r="G260" s="47" t="s">
        <v>782</v>
      </c>
      <c r="H260" s="47" t="s">
        <v>789</v>
      </c>
      <c r="I260" s="39" t="s">
        <v>784</v>
      </c>
      <c r="J260" s="47"/>
      <c r="K260" s="47" t="s">
        <v>2157</v>
      </c>
      <c r="L260" s="47" t="s">
        <v>2136</v>
      </c>
      <c r="M260" s="47">
        <v>3</v>
      </c>
      <c r="N260" s="47" t="s">
        <v>173</v>
      </c>
      <c r="O260" s="49"/>
      <c r="P260" s="51"/>
    </row>
    <row r="261" spans="1:16" ht="15.75" thickBot="1">
      <c r="A261" s="50"/>
      <c r="B261" s="50"/>
      <c r="C261" s="52"/>
      <c r="D261" s="50"/>
      <c r="E261" s="48"/>
      <c r="F261" s="48"/>
      <c r="G261" s="48"/>
      <c r="H261" s="48"/>
      <c r="I261" s="38" t="s">
        <v>2124</v>
      </c>
      <c r="J261" s="48"/>
      <c r="K261" s="48"/>
      <c r="L261" s="48"/>
      <c r="M261" s="48"/>
      <c r="N261" s="48"/>
      <c r="O261" s="50"/>
      <c r="P261" s="52"/>
    </row>
    <row r="262" spans="1:16" ht="15" customHeight="1">
      <c r="A262" s="49" t="s">
        <v>811</v>
      </c>
      <c r="B262" s="49"/>
      <c r="C262" s="51" t="s">
        <v>812</v>
      </c>
      <c r="D262" s="49" t="s">
        <v>2152</v>
      </c>
      <c r="E262" s="47" t="s">
        <v>781</v>
      </c>
      <c r="F262" s="47" t="s">
        <v>2154</v>
      </c>
      <c r="G262" s="47" t="s">
        <v>782</v>
      </c>
      <c r="H262" s="47" t="s">
        <v>789</v>
      </c>
      <c r="I262" s="39" t="s">
        <v>784</v>
      </c>
      <c r="J262" s="47"/>
      <c r="K262" s="47" t="s">
        <v>2157</v>
      </c>
      <c r="L262" s="47" t="s">
        <v>2136</v>
      </c>
      <c r="M262" s="47">
        <v>3</v>
      </c>
      <c r="N262" s="47" t="s">
        <v>173</v>
      </c>
      <c r="O262" s="49"/>
      <c r="P262" s="51"/>
    </row>
    <row r="263" spans="1:16" ht="15.75" thickBot="1">
      <c r="A263" s="50"/>
      <c r="B263" s="50"/>
      <c r="C263" s="52"/>
      <c r="D263" s="50"/>
      <c r="E263" s="48"/>
      <c r="F263" s="48"/>
      <c r="G263" s="48"/>
      <c r="H263" s="48"/>
      <c r="I263" s="38" t="s">
        <v>2124</v>
      </c>
      <c r="J263" s="48"/>
      <c r="K263" s="48"/>
      <c r="L263" s="48"/>
      <c r="M263" s="48"/>
      <c r="N263" s="48"/>
      <c r="O263" s="50"/>
      <c r="P263" s="52"/>
    </row>
    <row r="264" spans="1:16" ht="15" customHeight="1">
      <c r="A264" s="49" t="s">
        <v>813</v>
      </c>
      <c r="B264" s="49"/>
      <c r="C264" s="51" t="s">
        <v>814</v>
      </c>
      <c r="D264" s="49" t="s">
        <v>2152</v>
      </c>
      <c r="E264" s="47" t="s">
        <v>781</v>
      </c>
      <c r="F264" s="47" t="s">
        <v>2154</v>
      </c>
      <c r="G264" s="47" t="s">
        <v>782</v>
      </c>
      <c r="H264" s="47" t="s">
        <v>789</v>
      </c>
      <c r="I264" s="39" t="s">
        <v>784</v>
      </c>
      <c r="J264" s="47"/>
      <c r="K264" s="47" t="s">
        <v>2157</v>
      </c>
      <c r="L264" s="47" t="s">
        <v>2136</v>
      </c>
      <c r="M264" s="47">
        <v>3</v>
      </c>
      <c r="N264" s="47"/>
      <c r="O264" s="49"/>
      <c r="P264" s="51"/>
    </row>
    <row r="265" spans="1:16" ht="15.75" thickBot="1">
      <c r="A265" s="50"/>
      <c r="B265" s="50"/>
      <c r="C265" s="52"/>
      <c r="D265" s="50"/>
      <c r="E265" s="48"/>
      <c r="F265" s="48"/>
      <c r="G265" s="48"/>
      <c r="H265" s="48"/>
      <c r="I265" s="38" t="s">
        <v>2124</v>
      </c>
      <c r="J265" s="48"/>
      <c r="K265" s="48"/>
      <c r="L265" s="48"/>
      <c r="M265" s="48"/>
      <c r="N265" s="48"/>
      <c r="O265" s="50"/>
      <c r="P265" s="52"/>
    </row>
    <row r="266" spans="1:16" ht="15" customHeight="1">
      <c r="A266" s="49" t="s">
        <v>815</v>
      </c>
      <c r="B266" s="49" t="s">
        <v>738</v>
      </c>
      <c r="C266" s="51" t="s">
        <v>816</v>
      </c>
      <c r="D266" s="49" t="s">
        <v>2152</v>
      </c>
      <c r="E266" s="47" t="s">
        <v>781</v>
      </c>
      <c r="F266" s="47" t="s">
        <v>2154</v>
      </c>
      <c r="G266" s="47" t="s">
        <v>782</v>
      </c>
      <c r="H266" s="47" t="s">
        <v>789</v>
      </c>
      <c r="I266" s="39" t="s">
        <v>784</v>
      </c>
      <c r="J266" s="47"/>
      <c r="K266" s="47" t="s">
        <v>2157</v>
      </c>
      <c r="L266" s="47" t="s">
        <v>2136</v>
      </c>
      <c r="M266" s="47">
        <v>3</v>
      </c>
      <c r="N266" s="47"/>
      <c r="O266" s="49"/>
      <c r="P266" s="51"/>
    </row>
    <row r="267" spans="1:16" ht="15.75" thickBot="1">
      <c r="A267" s="50"/>
      <c r="B267" s="50"/>
      <c r="C267" s="52"/>
      <c r="D267" s="50"/>
      <c r="E267" s="48"/>
      <c r="F267" s="48"/>
      <c r="G267" s="48"/>
      <c r="H267" s="48"/>
      <c r="I267" s="38" t="s">
        <v>2124</v>
      </c>
      <c r="J267" s="48"/>
      <c r="K267" s="48"/>
      <c r="L267" s="48"/>
      <c r="M267" s="48"/>
      <c r="N267" s="48"/>
      <c r="O267" s="50"/>
      <c r="P267" s="52"/>
    </row>
    <row r="268" spans="1:16" ht="15" customHeight="1">
      <c r="A268" s="49" t="s">
        <v>817</v>
      </c>
      <c r="B268" s="49"/>
      <c r="C268" s="51" t="s">
        <v>818</v>
      </c>
      <c r="D268" s="49" t="s">
        <v>2152</v>
      </c>
      <c r="E268" s="47" t="s">
        <v>781</v>
      </c>
      <c r="F268" s="47" t="s">
        <v>2154</v>
      </c>
      <c r="G268" s="47" t="s">
        <v>782</v>
      </c>
      <c r="H268" s="47" t="s">
        <v>2156</v>
      </c>
      <c r="I268" s="39" t="s">
        <v>784</v>
      </c>
      <c r="J268" s="47"/>
      <c r="K268" s="47" t="s">
        <v>2157</v>
      </c>
      <c r="L268" s="47" t="s">
        <v>2136</v>
      </c>
      <c r="M268" s="47">
        <v>3</v>
      </c>
      <c r="N268" s="47"/>
      <c r="O268" s="49"/>
      <c r="P268" s="51"/>
    </row>
    <row r="269" spans="1:16" ht="15.75" thickBot="1">
      <c r="A269" s="50"/>
      <c r="B269" s="50"/>
      <c r="C269" s="52"/>
      <c r="D269" s="50"/>
      <c r="E269" s="48"/>
      <c r="F269" s="48"/>
      <c r="G269" s="48"/>
      <c r="H269" s="48"/>
      <c r="I269" s="38" t="s">
        <v>2124</v>
      </c>
      <c r="J269" s="48"/>
      <c r="K269" s="48"/>
      <c r="L269" s="48"/>
      <c r="M269" s="48"/>
      <c r="N269" s="48"/>
      <c r="O269" s="50"/>
      <c r="P269" s="52"/>
    </row>
    <row r="270" spans="1:16" ht="15" customHeight="1">
      <c r="A270" s="49" t="s">
        <v>819</v>
      </c>
      <c r="B270" s="49"/>
      <c r="C270" s="51" t="s">
        <v>820</v>
      </c>
      <c r="D270" s="49" t="s">
        <v>821</v>
      </c>
      <c r="E270" s="47" t="s">
        <v>781</v>
      </c>
      <c r="F270" s="47" t="s">
        <v>2154</v>
      </c>
      <c r="G270" s="47" t="s">
        <v>782</v>
      </c>
      <c r="H270" s="47" t="s">
        <v>2156</v>
      </c>
      <c r="I270" s="39" t="s">
        <v>784</v>
      </c>
      <c r="J270" s="47"/>
      <c r="K270" s="47" t="s">
        <v>2157</v>
      </c>
      <c r="L270" s="47" t="s">
        <v>2195</v>
      </c>
      <c r="M270" s="47">
        <v>3</v>
      </c>
      <c r="N270" s="47"/>
      <c r="O270" s="49"/>
      <c r="P270" s="51"/>
    </row>
    <row r="271" spans="1:16" ht="15.75" thickBot="1">
      <c r="A271" s="50"/>
      <c r="B271" s="50"/>
      <c r="C271" s="52"/>
      <c r="D271" s="50"/>
      <c r="E271" s="48"/>
      <c r="F271" s="48"/>
      <c r="G271" s="48"/>
      <c r="H271" s="48"/>
      <c r="I271" s="38" t="s">
        <v>2124</v>
      </c>
      <c r="J271" s="48"/>
      <c r="K271" s="48"/>
      <c r="L271" s="48"/>
      <c r="M271" s="48"/>
      <c r="N271" s="48"/>
      <c r="O271" s="50"/>
      <c r="P271" s="52"/>
    </row>
    <row r="272" spans="1:16" ht="15" customHeight="1">
      <c r="A272" s="49" t="s">
        <v>822</v>
      </c>
      <c r="B272" s="49" t="s">
        <v>2132</v>
      </c>
      <c r="C272" s="51" t="s">
        <v>823</v>
      </c>
      <c r="D272" s="49" t="s">
        <v>2152</v>
      </c>
      <c r="E272" s="47" t="s">
        <v>781</v>
      </c>
      <c r="F272" s="47" t="s">
        <v>2154</v>
      </c>
      <c r="G272" s="47" t="s">
        <v>782</v>
      </c>
      <c r="H272" s="47" t="s">
        <v>2156</v>
      </c>
      <c r="I272" s="39" t="s">
        <v>784</v>
      </c>
      <c r="J272" s="47"/>
      <c r="K272" s="47" t="s">
        <v>2157</v>
      </c>
      <c r="L272" s="47" t="s">
        <v>2136</v>
      </c>
      <c r="M272" s="47"/>
      <c r="N272" s="47"/>
      <c r="O272" s="49"/>
      <c r="P272" s="51"/>
    </row>
    <row r="273" spans="1:16" ht="15.75" thickBot="1">
      <c r="A273" s="50"/>
      <c r="B273" s="50"/>
      <c r="C273" s="52"/>
      <c r="D273" s="50"/>
      <c r="E273" s="48"/>
      <c r="F273" s="48"/>
      <c r="G273" s="48"/>
      <c r="H273" s="48"/>
      <c r="I273" s="38" t="s">
        <v>2124</v>
      </c>
      <c r="J273" s="48"/>
      <c r="K273" s="48"/>
      <c r="L273" s="48"/>
      <c r="M273" s="48"/>
      <c r="N273" s="48"/>
      <c r="O273" s="50"/>
      <c r="P273" s="52"/>
    </row>
    <row r="274" spans="1:16" ht="15" customHeight="1">
      <c r="A274" s="49" t="s">
        <v>824</v>
      </c>
      <c r="B274" s="49" t="s">
        <v>2121</v>
      </c>
      <c r="C274" s="51" t="s">
        <v>825</v>
      </c>
      <c r="D274" s="49" t="s">
        <v>2152</v>
      </c>
      <c r="E274" s="47" t="s">
        <v>781</v>
      </c>
      <c r="F274" s="47" t="s">
        <v>2154</v>
      </c>
      <c r="G274" s="47" t="s">
        <v>782</v>
      </c>
      <c r="H274" s="47" t="s">
        <v>2156</v>
      </c>
      <c r="I274" s="39" t="s">
        <v>784</v>
      </c>
      <c r="J274" s="47"/>
      <c r="K274" s="47" t="s">
        <v>2157</v>
      </c>
      <c r="L274" s="47" t="s">
        <v>2136</v>
      </c>
      <c r="M274" s="47">
        <v>3</v>
      </c>
      <c r="N274" s="47"/>
      <c r="O274" s="49"/>
      <c r="P274" s="51"/>
    </row>
    <row r="275" spans="1:16" ht="15.75" thickBot="1">
      <c r="A275" s="50"/>
      <c r="B275" s="50"/>
      <c r="C275" s="52"/>
      <c r="D275" s="50"/>
      <c r="E275" s="48"/>
      <c r="F275" s="48"/>
      <c r="G275" s="48"/>
      <c r="H275" s="48"/>
      <c r="I275" s="38" t="s">
        <v>2124</v>
      </c>
      <c r="J275" s="48"/>
      <c r="K275" s="48"/>
      <c r="L275" s="48"/>
      <c r="M275" s="48"/>
      <c r="N275" s="48"/>
      <c r="O275" s="50"/>
      <c r="P275" s="52"/>
    </row>
    <row r="276" spans="1:16" ht="15" customHeight="1">
      <c r="A276" s="49" t="s">
        <v>826</v>
      </c>
      <c r="B276" s="49"/>
      <c r="C276" s="51" t="s">
        <v>827</v>
      </c>
      <c r="D276" s="49" t="s">
        <v>828</v>
      </c>
      <c r="E276" s="47" t="s">
        <v>829</v>
      </c>
      <c r="F276" s="47" t="s">
        <v>2154</v>
      </c>
      <c r="G276" s="47" t="s">
        <v>782</v>
      </c>
      <c r="H276" s="47" t="s">
        <v>2156</v>
      </c>
      <c r="I276" s="39" t="s">
        <v>784</v>
      </c>
      <c r="J276" s="47"/>
      <c r="K276" s="47" t="s">
        <v>2189</v>
      </c>
      <c r="L276" s="47" t="s">
        <v>2130</v>
      </c>
      <c r="M276" s="47">
        <v>3</v>
      </c>
      <c r="N276" s="47" t="s">
        <v>174</v>
      </c>
      <c r="O276" s="49"/>
      <c r="P276" s="51"/>
    </row>
    <row r="277" spans="1:16" ht="15.75" thickBot="1">
      <c r="A277" s="50"/>
      <c r="B277" s="50"/>
      <c r="C277" s="52"/>
      <c r="D277" s="50"/>
      <c r="E277" s="48"/>
      <c r="F277" s="48"/>
      <c r="G277" s="48"/>
      <c r="H277" s="48"/>
      <c r="I277" s="38" t="s">
        <v>2124</v>
      </c>
      <c r="J277" s="48"/>
      <c r="K277" s="48"/>
      <c r="L277" s="48"/>
      <c r="M277" s="48"/>
      <c r="N277" s="48"/>
      <c r="O277" s="50"/>
      <c r="P277" s="52"/>
    </row>
    <row r="278" spans="1:16" ht="15.75" thickBot="1">
      <c r="A278" s="6" t="s">
        <v>830</v>
      </c>
      <c r="B278" s="10" t="s">
        <v>2121</v>
      </c>
      <c r="C278" s="11"/>
      <c r="D278" s="10"/>
      <c r="E278" s="38"/>
      <c r="F278" s="38"/>
      <c r="G278" s="38"/>
      <c r="H278" s="38" t="s">
        <v>2123</v>
      </c>
      <c r="I278" s="38" t="s">
        <v>2124</v>
      </c>
      <c r="J278" s="38"/>
      <c r="K278" s="38"/>
      <c r="L278" s="38" t="s">
        <v>2125</v>
      </c>
      <c r="M278" s="38">
        <v>1</v>
      </c>
      <c r="N278" s="38"/>
      <c r="O278" s="10"/>
      <c r="P278" s="11"/>
    </row>
    <row r="279" spans="1:16" ht="15.75" thickBot="1">
      <c r="A279" s="6" t="s">
        <v>831</v>
      </c>
      <c r="B279" s="10" t="s">
        <v>2121</v>
      </c>
      <c r="C279" s="11" t="s">
        <v>832</v>
      </c>
      <c r="D279" s="10"/>
      <c r="E279" s="38"/>
      <c r="F279" s="38"/>
      <c r="G279" s="38"/>
      <c r="H279" s="38" t="s">
        <v>833</v>
      </c>
      <c r="I279" s="38" t="s">
        <v>2124</v>
      </c>
      <c r="J279" s="38"/>
      <c r="K279" s="38"/>
      <c r="L279" s="38"/>
      <c r="M279" s="38" t="s">
        <v>2221</v>
      </c>
      <c r="N279" s="38"/>
      <c r="O279" s="10"/>
      <c r="P279" s="25" t="str">
        <f>HYPERLINK("http://biade.itrust.de/biade/lpext.dll?f=id&amp;id=biadb%3Ar%3A008030&amp;t=main-h.htm","8030")</f>
        <v>8030</v>
      </c>
    </row>
    <row r="280" spans="1:16" ht="15">
      <c r="A280" s="5" t="s">
        <v>834</v>
      </c>
      <c r="B280" s="49" t="s">
        <v>1248</v>
      </c>
      <c r="C280" s="51"/>
      <c r="D280" s="49"/>
      <c r="E280" s="47">
        <v>10</v>
      </c>
      <c r="F280" s="47"/>
      <c r="G280" s="47"/>
      <c r="H280" s="47" t="s">
        <v>2123</v>
      </c>
      <c r="I280" s="47" t="s">
        <v>2124</v>
      </c>
      <c r="J280" s="47"/>
      <c r="K280" s="47"/>
      <c r="L280" s="47" t="s">
        <v>2130</v>
      </c>
      <c r="M280" s="47"/>
      <c r="N280" s="47"/>
      <c r="O280" s="49"/>
      <c r="P280" s="51"/>
    </row>
    <row r="281" spans="1:16" ht="15.75" thickBot="1">
      <c r="A281" s="6" t="s">
        <v>835</v>
      </c>
      <c r="B281" s="50"/>
      <c r="C281" s="52"/>
      <c r="D281" s="50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50"/>
      <c r="P281" s="52"/>
    </row>
    <row r="282" spans="1:16" ht="22.5">
      <c r="A282" s="49" t="s">
        <v>836</v>
      </c>
      <c r="B282" s="49"/>
      <c r="C282" s="8" t="s">
        <v>837</v>
      </c>
      <c r="D282" s="49" t="s">
        <v>1229</v>
      </c>
      <c r="E282" s="47" t="s">
        <v>765</v>
      </c>
      <c r="F282" s="47" t="s">
        <v>1231</v>
      </c>
      <c r="G282" s="47" t="s">
        <v>840</v>
      </c>
      <c r="H282" s="47" t="s">
        <v>2156</v>
      </c>
      <c r="I282" s="47">
        <v>0.5</v>
      </c>
      <c r="J282" s="47">
        <v>2</v>
      </c>
      <c r="K282" s="47"/>
      <c r="L282" s="47" t="s">
        <v>841</v>
      </c>
      <c r="M282" s="47">
        <v>1</v>
      </c>
      <c r="N282" s="47" t="s">
        <v>175</v>
      </c>
      <c r="O282" s="49"/>
      <c r="P282" s="36" t="str">
        <f>HYPERLINK("http://biade.itrust.de/biade/lpext.dll?f=id&amp;id=biadb%3Ar%3A001820&amp;t=main-h.htm","1820")</f>
        <v>1820</v>
      </c>
    </row>
    <row r="283" spans="1:16" ht="33.75">
      <c r="A283" s="56"/>
      <c r="B283" s="56"/>
      <c r="C283" s="8" t="s">
        <v>838</v>
      </c>
      <c r="D283" s="56"/>
      <c r="E283" s="55"/>
      <c r="F283" s="55"/>
      <c r="G283" s="55"/>
      <c r="H283" s="55"/>
      <c r="I283" s="55"/>
      <c r="J283" s="55"/>
      <c r="K283" s="55"/>
      <c r="L283" s="55"/>
      <c r="M283" s="55"/>
      <c r="N283" s="55"/>
      <c r="O283" s="56"/>
      <c r="P283" s="8"/>
    </row>
    <row r="284" spans="1:16" ht="38.25" customHeight="1" thickBot="1">
      <c r="A284" s="50"/>
      <c r="B284" s="50"/>
      <c r="C284" s="11" t="s">
        <v>839</v>
      </c>
      <c r="D284" s="50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50"/>
      <c r="P284" s="25" t="str">
        <f>HYPERLINK("http://biade.itrust.de/biade/lpext.dll?f=id&amp;id=biadb%3Ar%3A001820&amp;t=main-h.htm","1820")</f>
        <v>1820</v>
      </c>
    </row>
    <row r="285" spans="1:16" ht="15">
      <c r="A285" s="49" t="s">
        <v>842</v>
      </c>
      <c r="B285" s="7" t="s">
        <v>843</v>
      </c>
      <c r="C285" s="51" t="s">
        <v>844</v>
      </c>
      <c r="D285" s="49"/>
      <c r="E285" s="47"/>
      <c r="F285" s="47" t="s">
        <v>845</v>
      </c>
      <c r="G285" s="47"/>
      <c r="H285" s="47" t="s">
        <v>2123</v>
      </c>
      <c r="I285" s="47" t="s">
        <v>2124</v>
      </c>
      <c r="J285" s="47"/>
      <c r="K285" s="47"/>
      <c r="L285" s="47" t="s">
        <v>2130</v>
      </c>
      <c r="M285" s="47"/>
      <c r="N285" s="47"/>
      <c r="O285" s="49"/>
      <c r="P285" s="51"/>
    </row>
    <row r="286" spans="1:16" ht="15">
      <c r="A286" s="56"/>
      <c r="B286" s="7" t="s">
        <v>1099</v>
      </c>
      <c r="C286" s="57"/>
      <c r="D286" s="56"/>
      <c r="E286" s="55"/>
      <c r="F286" s="55"/>
      <c r="G286" s="55"/>
      <c r="H286" s="55"/>
      <c r="I286" s="55"/>
      <c r="J286" s="55"/>
      <c r="K286" s="55"/>
      <c r="L286" s="55"/>
      <c r="M286" s="55"/>
      <c r="N286" s="55"/>
      <c r="O286" s="56"/>
      <c r="P286" s="57"/>
    </row>
    <row r="287" spans="1:16" ht="15.75" customHeight="1" thickBot="1">
      <c r="A287" s="50"/>
      <c r="B287" s="10"/>
      <c r="C287" s="52"/>
      <c r="D287" s="50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50"/>
      <c r="P287" s="52"/>
    </row>
    <row r="288" spans="1:16" ht="16.5" thickBot="1">
      <c r="A288" s="6" t="s">
        <v>846</v>
      </c>
      <c r="B288" s="10" t="s">
        <v>4217</v>
      </c>
      <c r="C288" s="11" t="s">
        <v>847</v>
      </c>
      <c r="D288" s="10" t="s">
        <v>1229</v>
      </c>
      <c r="E288" s="38" t="s">
        <v>765</v>
      </c>
      <c r="F288" s="38" t="s">
        <v>848</v>
      </c>
      <c r="G288" s="38" t="s">
        <v>840</v>
      </c>
      <c r="H288" s="38" t="s">
        <v>2156</v>
      </c>
      <c r="I288" s="38">
        <v>0.5</v>
      </c>
      <c r="J288" s="38">
        <v>2</v>
      </c>
      <c r="K288" s="38"/>
      <c r="L288" s="38" t="s">
        <v>2136</v>
      </c>
      <c r="M288" s="38">
        <v>1</v>
      </c>
      <c r="N288" s="38" t="s">
        <v>176</v>
      </c>
      <c r="O288" s="10"/>
      <c r="P288" s="25" t="str">
        <f>HYPERLINK("http://biade.itrust.de/biade/lpext.dll?f=id&amp;id=biadb%3Ar%3A003640&amp;t=main-h.htm","3640")</f>
        <v>3640</v>
      </c>
    </row>
    <row r="289" spans="1:16" ht="15">
      <c r="A289" s="49" t="s">
        <v>849</v>
      </c>
      <c r="B289" s="7" t="s">
        <v>850</v>
      </c>
      <c r="C289" s="51" t="s">
        <v>851</v>
      </c>
      <c r="D289" s="49" t="s">
        <v>1229</v>
      </c>
      <c r="E289" s="47" t="s">
        <v>852</v>
      </c>
      <c r="F289" s="47" t="s">
        <v>1231</v>
      </c>
      <c r="G289" s="47" t="s">
        <v>840</v>
      </c>
      <c r="H289" s="47" t="s">
        <v>2156</v>
      </c>
      <c r="I289" s="47" t="s">
        <v>2124</v>
      </c>
      <c r="J289" s="47"/>
      <c r="K289" s="47"/>
      <c r="L289" s="47" t="s">
        <v>2136</v>
      </c>
      <c r="M289" s="47">
        <v>1</v>
      </c>
      <c r="N289" s="47" t="s">
        <v>177</v>
      </c>
      <c r="O289" s="49"/>
      <c r="P289" s="51"/>
    </row>
    <row r="290" spans="1:16" ht="15.75" thickBot="1">
      <c r="A290" s="50"/>
      <c r="B290" s="10" t="s">
        <v>1099</v>
      </c>
      <c r="C290" s="52"/>
      <c r="D290" s="50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50"/>
      <c r="P290" s="52"/>
    </row>
    <row r="291" spans="1:16" ht="15.75" thickBot="1">
      <c r="A291" s="6" t="s">
        <v>931</v>
      </c>
      <c r="B291" s="10" t="s">
        <v>2121</v>
      </c>
      <c r="C291" s="11" t="s">
        <v>853</v>
      </c>
      <c r="D291" s="10"/>
      <c r="E291" s="38"/>
      <c r="F291" s="38"/>
      <c r="G291" s="38"/>
      <c r="H291" s="38" t="s">
        <v>2123</v>
      </c>
      <c r="I291" s="38" t="s">
        <v>2124</v>
      </c>
      <c r="J291" s="38"/>
      <c r="K291" s="38"/>
      <c r="L291" s="38" t="s">
        <v>2130</v>
      </c>
      <c r="M291" s="38"/>
      <c r="N291" s="38"/>
      <c r="O291" s="10"/>
      <c r="P291" s="11"/>
    </row>
    <row r="292" spans="1:16" ht="15.75" thickBot="1">
      <c r="A292" s="6" t="s">
        <v>2226</v>
      </c>
      <c r="B292" s="10" t="s">
        <v>1174</v>
      </c>
      <c r="C292" s="11" t="s">
        <v>854</v>
      </c>
      <c r="D292" s="10" t="s">
        <v>2227</v>
      </c>
      <c r="E292" s="38">
        <v>34</v>
      </c>
      <c r="F292" s="38" t="s">
        <v>3884</v>
      </c>
      <c r="G292" s="38"/>
      <c r="H292" s="38" t="s">
        <v>2164</v>
      </c>
      <c r="I292" s="38" t="s">
        <v>2124</v>
      </c>
      <c r="J292" s="38"/>
      <c r="K292" s="38"/>
      <c r="L292" s="38" t="s">
        <v>2165</v>
      </c>
      <c r="M292" s="38">
        <v>1</v>
      </c>
      <c r="N292" s="38" t="s">
        <v>3792</v>
      </c>
      <c r="O292" s="10"/>
      <c r="P292" s="25" t="str">
        <f>HYPERLINK("http://biade.itrust.de/biade/lpext.dll?f=id&amp;id=biadb%3Ar%3A492886&amp;t=main-h.htm","492886")</f>
        <v>492886</v>
      </c>
    </row>
    <row r="293" spans="1:16" ht="15">
      <c r="A293" s="49" t="s">
        <v>855</v>
      </c>
      <c r="B293" s="7" t="s">
        <v>856</v>
      </c>
      <c r="C293" s="51" t="s">
        <v>857</v>
      </c>
      <c r="D293" s="49" t="s">
        <v>2128</v>
      </c>
      <c r="E293" s="47" t="s">
        <v>2149</v>
      </c>
      <c r="F293" s="47">
        <v>26</v>
      </c>
      <c r="G293" s="47"/>
      <c r="H293" s="47" t="s">
        <v>2164</v>
      </c>
      <c r="I293" s="47" t="s">
        <v>2124</v>
      </c>
      <c r="J293" s="47"/>
      <c r="K293" s="47"/>
      <c r="L293" s="47" t="s">
        <v>2165</v>
      </c>
      <c r="M293" s="47">
        <v>2</v>
      </c>
      <c r="N293" s="47" t="s">
        <v>2144</v>
      </c>
      <c r="O293" s="49"/>
      <c r="P293" s="51"/>
    </row>
    <row r="294" spans="1:16" ht="15.75" thickBot="1">
      <c r="A294" s="50"/>
      <c r="B294" s="10" t="s">
        <v>1262</v>
      </c>
      <c r="C294" s="52"/>
      <c r="D294" s="50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50"/>
      <c r="P294" s="52"/>
    </row>
    <row r="295" spans="1:16" ht="15.75" thickBot="1">
      <c r="A295" s="6" t="s">
        <v>858</v>
      </c>
      <c r="B295" s="10" t="s">
        <v>859</v>
      </c>
      <c r="C295" s="11" t="s">
        <v>860</v>
      </c>
      <c r="D295" s="10"/>
      <c r="E295" s="38"/>
      <c r="F295" s="38"/>
      <c r="G295" s="38"/>
      <c r="H295" s="38" t="s">
        <v>2123</v>
      </c>
      <c r="I295" s="38" t="s">
        <v>2124</v>
      </c>
      <c r="J295" s="38"/>
      <c r="K295" s="38"/>
      <c r="L295" s="38" t="s">
        <v>2165</v>
      </c>
      <c r="M295" s="38">
        <v>2</v>
      </c>
      <c r="N295" s="38"/>
      <c r="O295" s="10"/>
      <c r="P295" s="11"/>
    </row>
    <row r="296" spans="1:16" ht="15">
      <c r="A296" s="49" t="s">
        <v>861</v>
      </c>
      <c r="B296" s="49"/>
      <c r="C296" s="51" t="s">
        <v>862</v>
      </c>
      <c r="D296" s="49" t="s">
        <v>4122</v>
      </c>
      <c r="E296" s="47" t="s">
        <v>863</v>
      </c>
      <c r="F296" s="47" t="s">
        <v>864</v>
      </c>
      <c r="G296" s="47"/>
      <c r="H296" s="47" t="s">
        <v>1224</v>
      </c>
      <c r="I296" s="39">
        <v>0.7</v>
      </c>
      <c r="J296" s="47">
        <v>1</v>
      </c>
      <c r="K296" s="47" t="s">
        <v>2189</v>
      </c>
      <c r="L296" s="47" t="s">
        <v>2210</v>
      </c>
      <c r="M296" s="47">
        <v>2</v>
      </c>
      <c r="N296" s="47" t="s">
        <v>866</v>
      </c>
      <c r="O296" s="49"/>
      <c r="P296" s="51"/>
    </row>
    <row r="297" spans="1:16" ht="15.75" thickBot="1">
      <c r="A297" s="50"/>
      <c r="B297" s="50"/>
      <c r="C297" s="52"/>
      <c r="D297" s="50"/>
      <c r="E297" s="48"/>
      <c r="F297" s="48"/>
      <c r="G297" s="48"/>
      <c r="H297" s="48"/>
      <c r="I297" s="38" t="s">
        <v>865</v>
      </c>
      <c r="J297" s="48"/>
      <c r="K297" s="48"/>
      <c r="L297" s="48"/>
      <c r="M297" s="48"/>
      <c r="N297" s="48"/>
      <c r="O297" s="50"/>
      <c r="P297" s="52"/>
    </row>
    <row r="298" spans="1:16" ht="22.5" customHeight="1">
      <c r="A298" s="49" t="s">
        <v>867</v>
      </c>
      <c r="B298" s="49" t="s">
        <v>1173</v>
      </c>
      <c r="C298" s="51" t="s">
        <v>868</v>
      </c>
      <c r="D298" s="49"/>
      <c r="E298" s="47" t="s">
        <v>869</v>
      </c>
      <c r="F298" s="47">
        <v>24</v>
      </c>
      <c r="G298" s="47"/>
      <c r="H298" s="47" t="s">
        <v>2123</v>
      </c>
      <c r="I298" s="47" t="s">
        <v>2124</v>
      </c>
      <c r="J298" s="47"/>
      <c r="K298" s="39" t="s">
        <v>2188</v>
      </c>
      <c r="L298" s="47" t="s">
        <v>2194</v>
      </c>
      <c r="M298" s="47">
        <v>2</v>
      </c>
      <c r="N298" s="47"/>
      <c r="O298" s="49"/>
      <c r="P298" s="51"/>
    </row>
    <row r="299" spans="1:16" ht="15.75" thickBot="1">
      <c r="A299" s="50"/>
      <c r="B299" s="50"/>
      <c r="C299" s="52"/>
      <c r="D299" s="50"/>
      <c r="E299" s="48"/>
      <c r="F299" s="48"/>
      <c r="G299" s="48"/>
      <c r="H299" s="48"/>
      <c r="I299" s="48"/>
      <c r="J299" s="48"/>
      <c r="K299" s="38" t="s">
        <v>2190</v>
      </c>
      <c r="L299" s="48"/>
      <c r="M299" s="48"/>
      <c r="N299" s="48"/>
      <c r="O299" s="50"/>
      <c r="P299" s="52"/>
    </row>
    <row r="300" spans="1:16" ht="15">
      <c r="A300" s="49" t="s">
        <v>932</v>
      </c>
      <c r="B300" s="7" t="s">
        <v>870</v>
      </c>
      <c r="C300" s="51" t="s">
        <v>872</v>
      </c>
      <c r="D300" s="49" t="s">
        <v>1229</v>
      </c>
      <c r="E300" s="47" t="s">
        <v>873</v>
      </c>
      <c r="F300" s="47" t="s">
        <v>874</v>
      </c>
      <c r="G300" s="47"/>
      <c r="H300" s="47" t="s">
        <v>1245</v>
      </c>
      <c r="I300" s="47" t="s">
        <v>2124</v>
      </c>
      <c r="J300" s="47"/>
      <c r="K300" s="47" t="s">
        <v>2189</v>
      </c>
      <c r="L300" s="47" t="s">
        <v>2194</v>
      </c>
      <c r="M300" s="47">
        <v>3</v>
      </c>
      <c r="N300" s="47"/>
      <c r="O300" s="49"/>
      <c r="P300" s="51"/>
    </row>
    <row r="301" spans="1:16" ht="15.75" thickBot="1">
      <c r="A301" s="50"/>
      <c r="B301" s="10" t="s">
        <v>871</v>
      </c>
      <c r="C301" s="52"/>
      <c r="D301" s="50"/>
      <c r="E301" s="48"/>
      <c r="F301" s="48"/>
      <c r="G301" s="48"/>
      <c r="H301" s="48"/>
      <c r="I301" s="48"/>
      <c r="J301" s="48"/>
      <c r="K301" s="48"/>
      <c r="L301" s="48"/>
      <c r="M301" s="48"/>
      <c r="N301" s="48"/>
      <c r="O301" s="50"/>
      <c r="P301" s="52"/>
    </row>
    <row r="302" spans="1:16" ht="15.75" thickBot="1">
      <c r="A302" s="6" t="s">
        <v>933</v>
      </c>
      <c r="B302" s="12" t="s">
        <v>1172</v>
      </c>
      <c r="C302" s="11" t="s">
        <v>875</v>
      </c>
      <c r="D302" s="10" t="s">
        <v>2227</v>
      </c>
      <c r="E302" s="38">
        <v>34</v>
      </c>
      <c r="F302" s="38" t="s">
        <v>3884</v>
      </c>
      <c r="G302" s="38"/>
      <c r="H302" s="38" t="s">
        <v>2129</v>
      </c>
      <c r="I302" s="38" t="s">
        <v>2124</v>
      </c>
      <c r="J302" s="38"/>
      <c r="K302" s="38"/>
      <c r="L302" s="38" t="s">
        <v>2194</v>
      </c>
      <c r="M302" s="38"/>
      <c r="N302" s="38"/>
      <c r="O302" s="10"/>
      <c r="P302" s="11"/>
    </row>
    <row r="303" spans="1:16" ht="15.75" thickBot="1">
      <c r="A303" s="6" t="s">
        <v>876</v>
      </c>
      <c r="B303" s="10"/>
      <c r="C303" s="11" t="s">
        <v>877</v>
      </c>
      <c r="D303" s="10" t="s">
        <v>2152</v>
      </c>
      <c r="E303" s="38" t="s">
        <v>878</v>
      </c>
      <c r="F303" s="38" t="s">
        <v>879</v>
      </c>
      <c r="G303" s="38"/>
      <c r="H303" s="38" t="s">
        <v>1245</v>
      </c>
      <c r="I303" s="38" t="s">
        <v>2124</v>
      </c>
      <c r="J303" s="38"/>
      <c r="K303" s="38" t="s">
        <v>2189</v>
      </c>
      <c r="L303" s="38" t="s">
        <v>2194</v>
      </c>
      <c r="M303" s="38">
        <v>3</v>
      </c>
      <c r="N303" s="38"/>
      <c r="O303" s="10"/>
      <c r="P303" s="25" t="str">
        <f>HYPERLINK("http://biade.itrust.de/biade/lpext.dll?f=id&amp;id=biadb%3Ar%3A493465&amp;t=main-h.htm","493465")</f>
        <v>493465</v>
      </c>
    </row>
    <row r="304" spans="1:16" ht="15">
      <c r="A304" s="49" t="s">
        <v>880</v>
      </c>
      <c r="B304" s="49"/>
      <c r="C304" s="51" t="s">
        <v>881</v>
      </c>
      <c r="D304" s="49" t="s">
        <v>713</v>
      </c>
      <c r="E304" s="47" t="s">
        <v>882</v>
      </c>
      <c r="F304" s="47">
        <v>61</v>
      </c>
      <c r="G304" s="47"/>
      <c r="H304" s="47" t="s">
        <v>2129</v>
      </c>
      <c r="I304" s="47" t="s">
        <v>2124</v>
      </c>
      <c r="J304" s="47"/>
      <c r="K304" s="39" t="s">
        <v>3774</v>
      </c>
      <c r="L304" s="47" t="s">
        <v>2194</v>
      </c>
      <c r="M304" s="47">
        <v>2</v>
      </c>
      <c r="N304" s="47" t="s">
        <v>1252</v>
      </c>
      <c r="O304" s="49"/>
      <c r="P304" s="51"/>
    </row>
    <row r="305" spans="1:16" ht="15.75" thickBot="1">
      <c r="A305" s="50"/>
      <c r="B305" s="50"/>
      <c r="C305" s="52"/>
      <c r="D305" s="50"/>
      <c r="E305" s="48"/>
      <c r="F305" s="48"/>
      <c r="G305" s="48"/>
      <c r="H305" s="48"/>
      <c r="I305" s="48"/>
      <c r="J305" s="48"/>
      <c r="K305" s="38" t="s">
        <v>2190</v>
      </c>
      <c r="L305" s="48"/>
      <c r="M305" s="48"/>
      <c r="N305" s="48"/>
      <c r="O305" s="50"/>
      <c r="P305" s="52"/>
    </row>
    <row r="306" spans="1:16" ht="15">
      <c r="A306" s="49" t="s">
        <v>883</v>
      </c>
      <c r="B306" s="49" t="s">
        <v>884</v>
      </c>
      <c r="C306" s="51" t="s">
        <v>885</v>
      </c>
      <c r="D306" s="49" t="s">
        <v>886</v>
      </c>
      <c r="E306" s="47" t="s">
        <v>887</v>
      </c>
      <c r="F306" s="47" t="s">
        <v>888</v>
      </c>
      <c r="G306" s="47"/>
      <c r="H306" s="47" t="s">
        <v>2164</v>
      </c>
      <c r="I306" s="47" t="s">
        <v>2124</v>
      </c>
      <c r="J306" s="47"/>
      <c r="K306" s="39" t="s">
        <v>3774</v>
      </c>
      <c r="L306" s="47" t="s">
        <v>2194</v>
      </c>
      <c r="M306" s="47">
        <v>2</v>
      </c>
      <c r="N306" s="47"/>
      <c r="O306" s="49"/>
      <c r="P306" s="51"/>
    </row>
    <row r="307" spans="1:16" ht="15.75" thickBot="1">
      <c r="A307" s="50"/>
      <c r="B307" s="50"/>
      <c r="C307" s="52"/>
      <c r="D307" s="50"/>
      <c r="E307" s="48"/>
      <c r="F307" s="48"/>
      <c r="G307" s="48"/>
      <c r="H307" s="48"/>
      <c r="I307" s="48"/>
      <c r="J307" s="48"/>
      <c r="K307" s="38" t="s">
        <v>2190</v>
      </c>
      <c r="L307" s="48"/>
      <c r="M307" s="48"/>
      <c r="N307" s="48"/>
      <c r="O307" s="50"/>
      <c r="P307" s="52"/>
    </row>
    <row r="308" spans="1:16" ht="15">
      <c r="A308" s="49" t="s">
        <v>867</v>
      </c>
      <c r="B308" s="49" t="s">
        <v>889</v>
      </c>
      <c r="C308" s="51" t="s">
        <v>868</v>
      </c>
      <c r="D308" s="49"/>
      <c r="E308" s="47" t="s">
        <v>869</v>
      </c>
      <c r="F308" s="47">
        <v>24</v>
      </c>
      <c r="G308" s="47"/>
      <c r="H308" s="47" t="s">
        <v>1276</v>
      </c>
      <c r="I308" s="47" t="s">
        <v>2124</v>
      </c>
      <c r="J308" s="47"/>
      <c r="K308" s="39" t="s">
        <v>3774</v>
      </c>
      <c r="L308" s="47" t="s">
        <v>2194</v>
      </c>
      <c r="M308" s="47">
        <v>2</v>
      </c>
      <c r="N308" s="47"/>
      <c r="O308" s="49"/>
      <c r="P308" s="51"/>
    </row>
    <row r="309" spans="1:16" ht="15.75" thickBot="1">
      <c r="A309" s="50"/>
      <c r="B309" s="50"/>
      <c r="C309" s="52"/>
      <c r="D309" s="50"/>
      <c r="E309" s="48"/>
      <c r="F309" s="48"/>
      <c r="G309" s="48"/>
      <c r="H309" s="48"/>
      <c r="I309" s="48"/>
      <c r="J309" s="48"/>
      <c r="K309" s="38" t="s">
        <v>2190</v>
      </c>
      <c r="L309" s="48"/>
      <c r="M309" s="48"/>
      <c r="N309" s="48"/>
      <c r="O309" s="50"/>
      <c r="P309" s="52"/>
    </row>
    <row r="310" spans="1:14" ht="15.75" thickBot="1">
      <c r="A310" s="9"/>
      <c r="E310" s="45"/>
      <c r="F310" s="45"/>
      <c r="G310" s="45"/>
      <c r="H310" s="45"/>
      <c r="I310" s="45"/>
      <c r="J310" s="45"/>
      <c r="K310" s="45"/>
      <c r="L310" s="45"/>
      <c r="M310" s="45"/>
      <c r="N310" s="45"/>
    </row>
    <row r="311" spans="1:16" ht="15.75" thickBot="1">
      <c r="A311" s="21" t="s">
        <v>890</v>
      </c>
      <c r="B311" s="22" t="s">
        <v>891</v>
      </c>
      <c r="C311" s="23" t="s">
        <v>892</v>
      </c>
      <c r="D311" s="22" t="s">
        <v>3778</v>
      </c>
      <c r="E311" s="43" t="s">
        <v>893</v>
      </c>
      <c r="F311" s="43" t="s">
        <v>3219</v>
      </c>
      <c r="G311" s="43" t="s">
        <v>894</v>
      </c>
      <c r="H311" s="43" t="s">
        <v>1232</v>
      </c>
      <c r="I311" s="43" t="s">
        <v>2124</v>
      </c>
      <c r="J311" s="43"/>
      <c r="K311" s="43" t="s">
        <v>2187</v>
      </c>
      <c r="L311" s="43" t="s">
        <v>2194</v>
      </c>
      <c r="M311" s="43">
        <v>1</v>
      </c>
      <c r="N311" s="43"/>
      <c r="O311" s="22"/>
      <c r="P311" s="35" t="str">
        <f>HYPERLINK("http://biade.itrust.de/biade/lpext.dll?f=id&amp;id=biadb%3Ar%3A024510&amp;t=main-h.htm","24510")</f>
        <v>24510</v>
      </c>
    </row>
    <row r="312" spans="1:16" ht="15.75" thickBot="1">
      <c r="A312" s="6" t="s">
        <v>895</v>
      </c>
      <c r="B312" s="10" t="s">
        <v>896</v>
      </c>
      <c r="C312" s="11" t="s">
        <v>897</v>
      </c>
      <c r="D312" s="10" t="s">
        <v>898</v>
      </c>
      <c r="E312" s="38" t="s">
        <v>899</v>
      </c>
      <c r="F312" s="38" t="s">
        <v>1244</v>
      </c>
      <c r="G312" s="38" t="s">
        <v>3940</v>
      </c>
      <c r="H312" s="38" t="s">
        <v>1245</v>
      </c>
      <c r="I312" s="38" t="s">
        <v>2124</v>
      </c>
      <c r="J312" s="38"/>
      <c r="K312" s="38" t="s">
        <v>2189</v>
      </c>
      <c r="L312" s="38" t="s">
        <v>2194</v>
      </c>
      <c r="M312" s="38">
        <v>2</v>
      </c>
      <c r="N312" s="38" t="s">
        <v>900</v>
      </c>
      <c r="O312" s="10"/>
      <c r="P312" s="25" t="str">
        <f>HYPERLINK("http://biade.itrust.de/biade/lpext.dll?f=id&amp;id=biadb%3Ar%3A024480&amp;t=main-h.htm","24480")</f>
        <v>24480</v>
      </c>
    </row>
    <row r="313" spans="1:16" ht="15">
      <c r="A313" s="49" t="s">
        <v>901</v>
      </c>
      <c r="B313" s="49" t="s">
        <v>1171</v>
      </c>
      <c r="C313" s="51" t="s">
        <v>902</v>
      </c>
      <c r="D313" s="49" t="s">
        <v>713</v>
      </c>
      <c r="E313" s="47" t="s">
        <v>882</v>
      </c>
      <c r="F313" s="47" t="s">
        <v>903</v>
      </c>
      <c r="G313" s="47"/>
      <c r="H313" s="47" t="s">
        <v>2164</v>
      </c>
      <c r="I313" s="47" t="s">
        <v>2124</v>
      </c>
      <c r="J313" s="47"/>
      <c r="K313" s="39" t="s">
        <v>3774</v>
      </c>
      <c r="L313" s="47" t="s">
        <v>2194</v>
      </c>
      <c r="M313" s="47">
        <v>2</v>
      </c>
      <c r="N313" s="47"/>
      <c r="O313" s="49"/>
      <c r="P313" s="51"/>
    </row>
    <row r="314" spans="1:16" ht="15.75" thickBot="1">
      <c r="A314" s="50"/>
      <c r="B314" s="50"/>
      <c r="C314" s="52"/>
      <c r="D314" s="50"/>
      <c r="E314" s="48"/>
      <c r="F314" s="48"/>
      <c r="G314" s="48"/>
      <c r="H314" s="48"/>
      <c r="I314" s="48"/>
      <c r="J314" s="48"/>
      <c r="K314" s="38" t="s">
        <v>2190</v>
      </c>
      <c r="L314" s="48"/>
      <c r="M314" s="48"/>
      <c r="N314" s="48"/>
      <c r="O314" s="50"/>
      <c r="P314" s="52"/>
    </row>
    <row r="315" spans="1:16" ht="15">
      <c r="A315" s="49" t="s">
        <v>904</v>
      </c>
      <c r="B315" s="49" t="s">
        <v>1170</v>
      </c>
      <c r="C315" s="51" t="s">
        <v>905</v>
      </c>
      <c r="D315" s="49"/>
      <c r="E315" s="47">
        <v>10</v>
      </c>
      <c r="F315" s="47"/>
      <c r="G315" s="47"/>
      <c r="H315" s="47" t="s">
        <v>502</v>
      </c>
      <c r="I315" s="47" t="s">
        <v>2124</v>
      </c>
      <c r="J315" s="47"/>
      <c r="K315" s="39" t="s">
        <v>3774</v>
      </c>
      <c r="L315" s="47" t="s">
        <v>2194</v>
      </c>
      <c r="M315" s="47">
        <v>3</v>
      </c>
      <c r="N315" s="47"/>
      <c r="O315" s="49"/>
      <c r="P315" s="51"/>
    </row>
    <row r="316" spans="1:16" ht="15.75" thickBot="1">
      <c r="A316" s="50"/>
      <c r="B316" s="50"/>
      <c r="C316" s="52"/>
      <c r="D316" s="50"/>
      <c r="E316" s="48"/>
      <c r="F316" s="48"/>
      <c r="G316" s="48"/>
      <c r="H316" s="48"/>
      <c r="I316" s="48"/>
      <c r="J316" s="48"/>
      <c r="K316" s="38" t="s">
        <v>2190</v>
      </c>
      <c r="L316" s="48"/>
      <c r="M316" s="48"/>
      <c r="N316" s="48"/>
      <c r="O316" s="50"/>
      <c r="P316" s="52"/>
    </row>
    <row r="317" spans="1:16" ht="15.75" thickBot="1">
      <c r="A317" s="6" t="s">
        <v>906</v>
      </c>
      <c r="B317" s="10" t="s">
        <v>2121</v>
      </c>
      <c r="C317" s="11" t="s">
        <v>907</v>
      </c>
      <c r="D317" s="10"/>
      <c r="E317" s="38"/>
      <c r="F317" s="38"/>
      <c r="G317" s="38"/>
      <c r="H317" s="38" t="s">
        <v>2123</v>
      </c>
      <c r="I317" s="38" t="s">
        <v>2124</v>
      </c>
      <c r="J317" s="38"/>
      <c r="K317" s="38"/>
      <c r="L317" s="38" t="s">
        <v>2165</v>
      </c>
      <c r="M317" s="38">
        <v>2</v>
      </c>
      <c r="N317" s="38"/>
      <c r="O317" s="10"/>
      <c r="P317" s="11"/>
    </row>
    <row r="318" spans="1:16" ht="15">
      <c r="A318" s="5" t="s">
        <v>906</v>
      </c>
      <c r="B318" s="49" t="s">
        <v>2121</v>
      </c>
      <c r="C318" s="51" t="s">
        <v>908</v>
      </c>
      <c r="D318" s="49"/>
      <c r="E318" s="47"/>
      <c r="F318" s="47"/>
      <c r="G318" s="47"/>
      <c r="H318" s="47" t="s">
        <v>2123</v>
      </c>
      <c r="I318" s="47" t="s">
        <v>2124</v>
      </c>
      <c r="J318" s="47"/>
      <c r="K318" s="47"/>
      <c r="L318" s="47" t="s">
        <v>2194</v>
      </c>
      <c r="M318" s="47">
        <v>2</v>
      </c>
      <c r="N318" s="47"/>
      <c r="O318" s="49"/>
      <c r="P318" s="51"/>
    </row>
    <row r="319" spans="1:16" ht="15.75" thickBot="1">
      <c r="A319" s="6" t="s">
        <v>4089</v>
      </c>
      <c r="B319" s="50"/>
      <c r="C319" s="52"/>
      <c r="D319" s="50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50"/>
      <c r="P319" s="52"/>
    </row>
    <row r="320" spans="1:16" ht="39" thickBot="1">
      <c r="A320" s="6" t="s">
        <v>909</v>
      </c>
      <c r="B320" s="10" t="s">
        <v>1169</v>
      </c>
      <c r="C320" s="11" t="s">
        <v>910</v>
      </c>
      <c r="D320" s="10"/>
      <c r="E320" s="38"/>
      <c r="F320" s="38"/>
      <c r="G320" s="38"/>
      <c r="H320" s="38" t="s">
        <v>2123</v>
      </c>
      <c r="I320" s="38" t="s">
        <v>2124</v>
      </c>
      <c r="J320" s="38"/>
      <c r="K320" s="38"/>
      <c r="L320" s="38" t="s">
        <v>2165</v>
      </c>
      <c r="M320" s="38">
        <v>2</v>
      </c>
      <c r="N320" s="38"/>
      <c r="O320" s="10"/>
      <c r="P320" s="11"/>
    </row>
    <row r="321" spans="1:16" ht="15.75" thickBot="1">
      <c r="A321" s="6" t="s">
        <v>911</v>
      </c>
      <c r="B321" s="10" t="s">
        <v>912</v>
      </c>
      <c r="C321" s="11" t="s">
        <v>913</v>
      </c>
      <c r="D321" s="10" t="s">
        <v>2152</v>
      </c>
      <c r="E321" s="38" t="s">
        <v>914</v>
      </c>
      <c r="F321" s="38" t="s">
        <v>915</v>
      </c>
      <c r="G321" s="38" t="s">
        <v>3513</v>
      </c>
      <c r="H321" s="38" t="s">
        <v>2185</v>
      </c>
      <c r="I321" s="38" t="s">
        <v>2124</v>
      </c>
      <c r="J321" s="38"/>
      <c r="K321" s="38" t="s">
        <v>2187</v>
      </c>
      <c r="L321" s="38" t="s">
        <v>2194</v>
      </c>
      <c r="M321" s="38">
        <v>3</v>
      </c>
      <c r="N321" s="38"/>
      <c r="O321" s="10"/>
      <c r="P321" s="25" t="str">
        <f>HYPERLINK("http://biade.itrust.de/biade/lpext.dll?f=id&amp;id=biadb%3Ar%3A031600&amp;t=main-h.htm","31600")</f>
        <v>31600</v>
      </c>
    </row>
    <row r="322" spans="1:16" ht="15.75" thickBot="1">
      <c r="A322" s="6" t="s">
        <v>3514</v>
      </c>
      <c r="B322" s="10" t="s">
        <v>2121</v>
      </c>
      <c r="C322" s="11" t="s">
        <v>3515</v>
      </c>
      <c r="D322" s="10"/>
      <c r="E322" s="38" t="s">
        <v>3516</v>
      </c>
      <c r="F322" s="38">
        <v>61</v>
      </c>
      <c r="G322" s="38"/>
      <c r="H322" s="38" t="s">
        <v>2123</v>
      </c>
      <c r="I322" s="38" t="s">
        <v>2124</v>
      </c>
      <c r="J322" s="38"/>
      <c r="K322" s="38"/>
      <c r="L322" s="38" t="s">
        <v>2130</v>
      </c>
      <c r="M322" s="38">
        <v>2</v>
      </c>
      <c r="N322" s="38"/>
      <c r="O322" s="10"/>
      <c r="P322" s="25" t="str">
        <f>HYPERLINK("http://biade.itrust.de/biade/lpext.dll?f=id&amp;id=biadb%3Ar%3A070060&amp;t=main-h.htm","70060")</f>
        <v>70060</v>
      </c>
    </row>
    <row r="323" spans="1:16" ht="15.75" thickBot="1">
      <c r="A323" s="6" t="s">
        <v>3517</v>
      </c>
      <c r="B323" s="10" t="s">
        <v>3518</v>
      </c>
      <c r="C323" s="11" t="s">
        <v>3519</v>
      </c>
      <c r="D323" s="10" t="s">
        <v>2152</v>
      </c>
      <c r="E323" s="38" t="s">
        <v>3520</v>
      </c>
      <c r="F323" s="38" t="s">
        <v>3521</v>
      </c>
      <c r="G323" s="38" t="s">
        <v>2181</v>
      </c>
      <c r="H323" s="38" t="s">
        <v>3220</v>
      </c>
      <c r="I323" s="38" t="s">
        <v>2124</v>
      </c>
      <c r="J323" s="38"/>
      <c r="K323" s="38" t="s">
        <v>2189</v>
      </c>
      <c r="L323" s="38" t="s">
        <v>2194</v>
      </c>
      <c r="M323" s="38">
        <v>3</v>
      </c>
      <c r="N323" s="38"/>
      <c r="O323" s="10"/>
      <c r="P323" s="25" t="str">
        <f>HYPERLINK("http://biade.itrust.de/biade/lpext.dll?f=id&amp;id=biadb%3Ar%3A039820&amp;t=main-h.htm","39820")</f>
        <v>39820</v>
      </c>
    </row>
    <row r="324" spans="1:14" ht="15.75" thickBot="1">
      <c r="A324" s="9"/>
      <c r="E324" s="45"/>
      <c r="F324" s="45"/>
      <c r="G324" s="45"/>
      <c r="H324" s="45"/>
      <c r="I324" s="45"/>
      <c r="J324" s="45"/>
      <c r="K324" s="45"/>
      <c r="L324" s="45"/>
      <c r="M324" s="45"/>
      <c r="N324" s="45"/>
    </row>
    <row r="325" spans="1:16" ht="15">
      <c r="A325" s="49" t="s">
        <v>3522</v>
      </c>
      <c r="B325" s="49" t="s">
        <v>1168</v>
      </c>
      <c r="C325" s="51" t="s">
        <v>3523</v>
      </c>
      <c r="D325" s="49" t="s">
        <v>3771</v>
      </c>
      <c r="E325" s="47" t="s">
        <v>3524</v>
      </c>
      <c r="F325" s="47" t="s">
        <v>3525</v>
      </c>
      <c r="G325" s="47"/>
      <c r="H325" s="47" t="s">
        <v>2129</v>
      </c>
      <c r="I325" s="47" t="s">
        <v>2124</v>
      </c>
      <c r="J325" s="47"/>
      <c r="K325" s="42" t="s">
        <v>3774</v>
      </c>
      <c r="L325" s="47" t="s">
        <v>2194</v>
      </c>
      <c r="M325" s="47"/>
      <c r="N325" s="47"/>
      <c r="O325" s="49"/>
      <c r="P325" s="51"/>
    </row>
    <row r="326" spans="1:16" ht="15.75" thickBot="1">
      <c r="A326" s="50"/>
      <c r="B326" s="50"/>
      <c r="C326" s="52"/>
      <c r="D326" s="50"/>
      <c r="E326" s="48"/>
      <c r="F326" s="48"/>
      <c r="G326" s="48"/>
      <c r="H326" s="48"/>
      <c r="I326" s="48"/>
      <c r="J326" s="48"/>
      <c r="K326" s="38" t="s">
        <v>2190</v>
      </c>
      <c r="L326" s="48"/>
      <c r="M326" s="48"/>
      <c r="N326" s="48"/>
      <c r="O326" s="50"/>
      <c r="P326" s="52"/>
    </row>
    <row r="327" spans="1:16" ht="15">
      <c r="A327" s="49" t="s">
        <v>3526</v>
      </c>
      <c r="B327" s="49" t="s">
        <v>2121</v>
      </c>
      <c r="C327" s="51" t="s">
        <v>3527</v>
      </c>
      <c r="D327" s="49" t="s">
        <v>2187</v>
      </c>
      <c r="E327" s="47">
        <v>50</v>
      </c>
      <c r="F327" s="47" t="s">
        <v>3528</v>
      </c>
      <c r="G327" s="47"/>
      <c r="H327" s="47" t="s">
        <v>2123</v>
      </c>
      <c r="I327" s="47" t="s">
        <v>2124</v>
      </c>
      <c r="J327" s="47"/>
      <c r="K327" s="39" t="s">
        <v>3774</v>
      </c>
      <c r="L327" s="47" t="s">
        <v>2194</v>
      </c>
      <c r="M327" s="47">
        <v>2</v>
      </c>
      <c r="N327" s="47"/>
      <c r="O327" s="49"/>
      <c r="P327" s="51"/>
    </row>
    <row r="328" spans="1:16" ht="15.75" thickBot="1">
      <c r="A328" s="50"/>
      <c r="B328" s="50"/>
      <c r="C328" s="52"/>
      <c r="D328" s="50"/>
      <c r="E328" s="48"/>
      <c r="F328" s="48"/>
      <c r="G328" s="48"/>
      <c r="H328" s="48"/>
      <c r="I328" s="48"/>
      <c r="J328" s="48"/>
      <c r="K328" s="38" t="s">
        <v>2190</v>
      </c>
      <c r="L328" s="48"/>
      <c r="M328" s="48"/>
      <c r="N328" s="48"/>
      <c r="O328" s="50"/>
      <c r="P328" s="52"/>
    </row>
    <row r="329" spans="1:16" ht="15.75" thickBot="1">
      <c r="A329" s="6" t="s">
        <v>3529</v>
      </c>
      <c r="B329" s="10" t="s">
        <v>2121</v>
      </c>
      <c r="C329" s="11" t="s">
        <v>3530</v>
      </c>
      <c r="D329" s="10" t="s">
        <v>2134</v>
      </c>
      <c r="E329" s="38">
        <v>38</v>
      </c>
      <c r="F329" s="38"/>
      <c r="G329" s="38"/>
      <c r="H329" s="38" t="s">
        <v>2164</v>
      </c>
      <c r="I329" s="38" t="s">
        <v>2124</v>
      </c>
      <c r="J329" s="38"/>
      <c r="K329" s="38"/>
      <c r="L329" s="38" t="s">
        <v>2194</v>
      </c>
      <c r="M329" s="38">
        <v>3</v>
      </c>
      <c r="N329" s="38" t="s">
        <v>1252</v>
      </c>
      <c r="O329" s="10"/>
      <c r="P329" s="11"/>
    </row>
    <row r="330" spans="1:16" ht="15.75" thickBot="1">
      <c r="A330" s="6" t="s">
        <v>3531</v>
      </c>
      <c r="B330" s="10" t="s">
        <v>2121</v>
      </c>
      <c r="C330" s="11" t="s">
        <v>3532</v>
      </c>
      <c r="D330" s="10" t="s">
        <v>2128</v>
      </c>
      <c r="E330" s="38" t="s">
        <v>3533</v>
      </c>
      <c r="F330" s="38"/>
      <c r="G330" s="38"/>
      <c r="H330" s="38" t="s">
        <v>2129</v>
      </c>
      <c r="I330" s="38" t="s">
        <v>2124</v>
      </c>
      <c r="J330" s="38"/>
      <c r="K330" s="38"/>
      <c r="L330" s="38" t="s">
        <v>2165</v>
      </c>
      <c r="M330" s="38">
        <v>3</v>
      </c>
      <c r="N330" s="38"/>
      <c r="O330" s="10"/>
      <c r="P330" s="11"/>
    </row>
    <row r="331" spans="1:16" ht="15">
      <c r="A331" s="5" t="s">
        <v>3534</v>
      </c>
      <c r="B331" s="49" t="s">
        <v>2121</v>
      </c>
      <c r="C331" s="51" t="s">
        <v>3535</v>
      </c>
      <c r="D331" s="49"/>
      <c r="E331" s="47"/>
      <c r="F331" s="47"/>
      <c r="G331" s="47"/>
      <c r="H331" s="47" t="s">
        <v>2123</v>
      </c>
      <c r="I331" s="47" t="s">
        <v>2124</v>
      </c>
      <c r="J331" s="47"/>
      <c r="K331" s="47"/>
      <c r="L331" s="47" t="s">
        <v>2194</v>
      </c>
      <c r="M331" s="47">
        <v>3</v>
      </c>
      <c r="N331" s="47"/>
      <c r="O331" s="49"/>
      <c r="P331" s="51"/>
    </row>
    <row r="332" spans="1:16" ht="15.75" thickBot="1">
      <c r="A332" s="6" t="s">
        <v>4089</v>
      </c>
      <c r="B332" s="50"/>
      <c r="C332" s="52"/>
      <c r="D332" s="50"/>
      <c r="E332" s="48"/>
      <c r="F332" s="48"/>
      <c r="G332" s="48"/>
      <c r="H332" s="48"/>
      <c r="I332" s="48"/>
      <c r="J332" s="48"/>
      <c r="K332" s="48"/>
      <c r="L332" s="48"/>
      <c r="M332" s="48"/>
      <c r="N332" s="48"/>
      <c r="O332" s="50"/>
      <c r="P332" s="52"/>
    </row>
    <row r="333" spans="1:16" ht="16.5" thickBot="1">
      <c r="A333" s="6" t="s">
        <v>3536</v>
      </c>
      <c r="B333" s="10" t="s">
        <v>1167</v>
      </c>
      <c r="C333" s="11" t="s">
        <v>3537</v>
      </c>
      <c r="D333" s="10" t="s">
        <v>3538</v>
      </c>
      <c r="E333" s="38" t="s">
        <v>3539</v>
      </c>
      <c r="F333" s="38" t="s">
        <v>1231</v>
      </c>
      <c r="G333" s="38" t="s">
        <v>3540</v>
      </c>
      <c r="H333" s="38" t="s">
        <v>689</v>
      </c>
      <c r="I333" s="38" t="s">
        <v>2124</v>
      </c>
      <c r="J333" s="38"/>
      <c r="K333" s="38" t="s">
        <v>1239</v>
      </c>
      <c r="L333" s="38" t="s">
        <v>2194</v>
      </c>
      <c r="M333" s="38">
        <v>2</v>
      </c>
      <c r="N333" s="38"/>
      <c r="O333" s="10"/>
      <c r="P333" s="25" t="str">
        <f>HYPERLINK("http://biade.itrust.de/biade/lpext.dll?f=id&amp;id=biadb%3Ar%3A024520&amp;t=main-h.htm","24520")</f>
        <v>24520</v>
      </c>
    </row>
    <row r="334" spans="1:16" ht="16.5" thickBot="1">
      <c r="A334" s="6" t="s">
        <v>3541</v>
      </c>
      <c r="B334" s="10" t="s">
        <v>1166</v>
      </c>
      <c r="C334" s="11" t="s">
        <v>3542</v>
      </c>
      <c r="D334" s="10" t="s">
        <v>3538</v>
      </c>
      <c r="E334" s="38" t="s">
        <v>3543</v>
      </c>
      <c r="F334" s="38" t="s">
        <v>3544</v>
      </c>
      <c r="G334" s="38" t="s">
        <v>3545</v>
      </c>
      <c r="H334" s="38" t="s">
        <v>3546</v>
      </c>
      <c r="I334" s="38" t="s">
        <v>2124</v>
      </c>
      <c r="J334" s="38"/>
      <c r="K334" s="38" t="s">
        <v>1239</v>
      </c>
      <c r="L334" s="38" t="s">
        <v>2194</v>
      </c>
      <c r="M334" s="38">
        <v>1</v>
      </c>
      <c r="N334" s="38"/>
      <c r="O334" s="10"/>
      <c r="P334" s="25" t="str">
        <f>HYPERLINK("http://biade.itrust.de/biade/lpext.dll?f=id&amp;id=biadb%3Ar%3A510534&amp;t=main-h.htm","510534")</f>
        <v>510534</v>
      </c>
    </row>
    <row r="335" spans="1:16" ht="15.75" thickBot="1">
      <c r="A335" s="6" t="s">
        <v>3547</v>
      </c>
      <c r="B335" s="10" t="s">
        <v>2121</v>
      </c>
      <c r="C335" s="11" t="s">
        <v>3548</v>
      </c>
      <c r="D335" s="10" t="s">
        <v>2128</v>
      </c>
      <c r="E335" s="38" t="s">
        <v>2431</v>
      </c>
      <c r="F335" s="38" t="s">
        <v>2163</v>
      </c>
      <c r="G335" s="38"/>
      <c r="H335" s="38" t="s">
        <v>2164</v>
      </c>
      <c r="I335" s="38" t="s">
        <v>2124</v>
      </c>
      <c r="J335" s="38"/>
      <c r="K335" s="38"/>
      <c r="L335" s="38" t="s">
        <v>2165</v>
      </c>
      <c r="M335" s="38">
        <v>3</v>
      </c>
      <c r="N335" s="38" t="s">
        <v>2144</v>
      </c>
      <c r="O335" s="10"/>
      <c r="P335" s="25" t="str">
        <f>HYPERLINK("http://biade.itrust.de/biade/lpext.dll?f=id&amp;id=biadb%3Ar%3A040270&amp;t=main-h.htm","40270")</f>
        <v>40270</v>
      </c>
    </row>
    <row r="336" spans="1:16" ht="15">
      <c r="A336" s="5" t="s">
        <v>2432</v>
      </c>
      <c r="B336" s="49" t="s">
        <v>2121</v>
      </c>
      <c r="C336" s="51" t="s">
        <v>2433</v>
      </c>
      <c r="D336" s="49"/>
      <c r="E336" s="47"/>
      <c r="F336" s="47"/>
      <c r="G336" s="47"/>
      <c r="H336" s="47" t="s">
        <v>2123</v>
      </c>
      <c r="I336" s="47" t="s">
        <v>2124</v>
      </c>
      <c r="J336" s="47"/>
      <c r="K336" s="47"/>
      <c r="L336" s="47" t="s">
        <v>2194</v>
      </c>
      <c r="M336" s="47">
        <v>2</v>
      </c>
      <c r="N336" s="47"/>
      <c r="O336" s="49"/>
      <c r="P336" s="51"/>
    </row>
    <row r="337" spans="1:16" ht="15.75" thickBot="1">
      <c r="A337" s="6" t="s">
        <v>4089</v>
      </c>
      <c r="B337" s="50"/>
      <c r="C337" s="52"/>
      <c r="D337" s="50"/>
      <c r="E337" s="48"/>
      <c r="F337" s="48"/>
      <c r="G337" s="48"/>
      <c r="H337" s="48"/>
      <c r="I337" s="48"/>
      <c r="J337" s="48"/>
      <c r="K337" s="48"/>
      <c r="L337" s="48"/>
      <c r="M337" s="48"/>
      <c r="N337" s="48"/>
      <c r="O337" s="50"/>
      <c r="P337" s="52"/>
    </row>
    <row r="338" spans="1:16" ht="15.75" thickBot="1">
      <c r="A338" s="6" t="s">
        <v>2434</v>
      </c>
      <c r="B338" s="10" t="s">
        <v>2121</v>
      </c>
      <c r="C338" s="11" t="s">
        <v>2435</v>
      </c>
      <c r="D338" s="10"/>
      <c r="E338" s="38"/>
      <c r="F338" s="38"/>
      <c r="G338" s="38"/>
      <c r="H338" s="38" t="s">
        <v>2123</v>
      </c>
      <c r="I338" s="38" t="s">
        <v>2124</v>
      </c>
      <c r="J338" s="38"/>
      <c r="K338" s="38"/>
      <c r="L338" s="38" t="s">
        <v>2130</v>
      </c>
      <c r="M338" s="38">
        <v>2</v>
      </c>
      <c r="N338" s="38"/>
      <c r="O338" s="10"/>
      <c r="P338" s="11"/>
    </row>
    <row r="339" spans="1:16" ht="15.75" thickBot="1">
      <c r="A339" s="6" t="s">
        <v>2436</v>
      </c>
      <c r="B339" s="10" t="s">
        <v>2121</v>
      </c>
      <c r="C339" s="11" t="s">
        <v>2437</v>
      </c>
      <c r="D339" s="10" t="s">
        <v>3961</v>
      </c>
      <c r="E339" s="38" t="s">
        <v>2438</v>
      </c>
      <c r="F339" s="38" t="s">
        <v>2439</v>
      </c>
      <c r="G339" s="38"/>
      <c r="H339" s="38" t="s">
        <v>2164</v>
      </c>
      <c r="I339" s="38" t="s">
        <v>2124</v>
      </c>
      <c r="J339" s="38"/>
      <c r="K339" s="38"/>
      <c r="L339" s="38" t="s">
        <v>2194</v>
      </c>
      <c r="M339" s="38">
        <v>2</v>
      </c>
      <c r="N339" s="38" t="s">
        <v>2144</v>
      </c>
      <c r="O339" s="10"/>
      <c r="P339" s="25" t="str">
        <f>HYPERLINK("http://biade.itrust.de/biade/lpext.dll?f=id&amp;id=biadb%3Ar%3A492555&amp;t=main-h.htm","492555")</f>
        <v>492555</v>
      </c>
    </row>
    <row r="340" spans="1:16" ht="15.75" thickBot="1">
      <c r="A340" s="6" t="s">
        <v>2440</v>
      </c>
      <c r="B340" s="10" t="s">
        <v>2121</v>
      </c>
      <c r="C340" s="11" t="s">
        <v>2441</v>
      </c>
      <c r="D340" s="10" t="s">
        <v>3961</v>
      </c>
      <c r="E340" s="38" t="s">
        <v>2438</v>
      </c>
      <c r="F340" s="38" t="s">
        <v>2439</v>
      </c>
      <c r="G340" s="38"/>
      <c r="H340" s="38" t="s">
        <v>2129</v>
      </c>
      <c r="I340" s="38" t="s">
        <v>2124</v>
      </c>
      <c r="J340" s="38"/>
      <c r="K340" s="38"/>
      <c r="L340" s="38" t="s">
        <v>2194</v>
      </c>
      <c r="M340" s="38">
        <v>2</v>
      </c>
      <c r="N340" s="38" t="s">
        <v>2144</v>
      </c>
      <c r="O340" s="10"/>
      <c r="P340" s="25" t="str">
        <f>HYPERLINK("http://biade.itrust.de/biade/lpext.dll?f=id&amp;id=biadb%3Ar%3A493352&amp;t=main-h.htm","493352")</f>
        <v>493352</v>
      </c>
    </row>
    <row r="341" spans="1:16" ht="15.75" thickBot="1">
      <c r="A341" s="6" t="s">
        <v>2442</v>
      </c>
      <c r="B341" s="10" t="s">
        <v>2121</v>
      </c>
      <c r="C341" s="11" t="s">
        <v>2443</v>
      </c>
      <c r="D341" s="10" t="s">
        <v>3961</v>
      </c>
      <c r="E341" s="38" t="s">
        <v>2438</v>
      </c>
      <c r="F341" s="38" t="s">
        <v>2439</v>
      </c>
      <c r="G341" s="38"/>
      <c r="H341" s="38" t="s">
        <v>2164</v>
      </c>
      <c r="I341" s="38" t="s">
        <v>2124</v>
      </c>
      <c r="J341" s="38"/>
      <c r="K341" s="38"/>
      <c r="L341" s="38" t="s">
        <v>2194</v>
      </c>
      <c r="M341" s="38">
        <v>2</v>
      </c>
      <c r="N341" s="38" t="s">
        <v>2144</v>
      </c>
      <c r="O341" s="10"/>
      <c r="P341" s="11"/>
    </row>
    <row r="342" spans="1:16" ht="15.75" thickBot="1">
      <c r="A342" s="24" t="s">
        <v>2444</v>
      </c>
      <c r="B342" s="22" t="s">
        <v>2445</v>
      </c>
      <c r="C342" s="23" t="s">
        <v>2446</v>
      </c>
      <c r="D342" s="22" t="s">
        <v>2134</v>
      </c>
      <c r="E342" s="43" t="s">
        <v>2162</v>
      </c>
      <c r="F342" s="43">
        <v>39</v>
      </c>
      <c r="G342" s="43"/>
      <c r="H342" s="43" t="s">
        <v>2447</v>
      </c>
      <c r="I342" s="43" t="s">
        <v>2124</v>
      </c>
      <c r="J342" s="43"/>
      <c r="K342" s="43"/>
      <c r="L342" s="43" t="s">
        <v>2194</v>
      </c>
      <c r="M342" s="43">
        <v>2</v>
      </c>
      <c r="N342" s="43" t="s">
        <v>1252</v>
      </c>
      <c r="O342" s="22"/>
      <c r="P342" s="35" t="str">
        <f>HYPERLINK("http://biade.itrust.de/biade/lpext.dll?f=id&amp;id=biadb%3Ar%3A510081&amp;t=main-h.htm","510081")</f>
        <v>510081</v>
      </c>
    </row>
    <row r="343" spans="1:16" ht="15">
      <c r="A343" s="49" t="s">
        <v>2448</v>
      </c>
      <c r="B343" s="49" t="s">
        <v>2449</v>
      </c>
      <c r="C343" s="51"/>
      <c r="D343" s="49" t="s">
        <v>2450</v>
      </c>
      <c r="E343" s="47" t="s">
        <v>2451</v>
      </c>
      <c r="F343" s="47" t="s">
        <v>2452</v>
      </c>
      <c r="G343" s="47"/>
      <c r="H343" s="47" t="s">
        <v>3220</v>
      </c>
      <c r="I343" s="39">
        <v>0.7</v>
      </c>
      <c r="J343" s="47">
        <v>1</v>
      </c>
      <c r="K343" s="47" t="s">
        <v>2189</v>
      </c>
      <c r="L343" s="47" t="s">
        <v>2210</v>
      </c>
      <c r="M343" s="47">
        <v>2</v>
      </c>
      <c r="N343" s="47"/>
      <c r="O343" s="49"/>
      <c r="P343" s="51"/>
    </row>
    <row r="344" spans="1:16" ht="15.75" thickBot="1">
      <c r="A344" s="50"/>
      <c r="B344" s="50"/>
      <c r="C344" s="52"/>
      <c r="D344" s="50"/>
      <c r="E344" s="48"/>
      <c r="F344" s="48"/>
      <c r="G344" s="48"/>
      <c r="H344" s="48"/>
      <c r="I344" s="38" t="s">
        <v>2124</v>
      </c>
      <c r="J344" s="48"/>
      <c r="K344" s="48"/>
      <c r="L344" s="48"/>
      <c r="M344" s="48"/>
      <c r="N344" s="48"/>
      <c r="O344" s="50"/>
      <c r="P344" s="52"/>
    </row>
    <row r="345" spans="1:16" ht="15">
      <c r="A345" s="5" t="s">
        <v>2453</v>
      </c>
      <c r="B345" s="49" t="s">
        <v>1165</v>
      </c>
      <c r="C345" s="51" t="s">
        <v>2454</v>
      </c>
      <c r="D345" s="49" t="s">
        <v>2227</v>
      </c>
      <c r="E345" s="47" t="s">
        <v>2455</v>
      </c>
      <c r="F345" s="47" t="s">
        <v>2456</v>
      </c>
      <c r="G345" s="47"/>
      <c r="H345" s="47" t="s">
        <v>3220</v>
      </c>
      <c r="I345" s="47" t="s">
        <v>2124</v>
      </c>
      <c r="J345" s="47"/>
      <c r="K345" s="47" t="s">
        <v>2457</v>
      </c>
      <c r="L345" s="47" t="s">
        <v>2202</v>
      </c>
      <c r="M345" s="47">
        <v>1</v>
      </c>
      <c r="N345" s="47"/>
      <c r="O345" s="49"/>
      <c r="P345" s="51"/>
    </row>
    <row r="346" spans="1:16" ht="15.75" thickBot="1">
      <c r="A346" s="6" t="s">
        <v>2160</v>
      </c>
      <c r="B346" s="50"/>
      <c r="C346" s="52"/>
      <c r="D346" s="50"/>
      <c r="E346" s="48"/>
      <c r="F346" s="48"/>
      <c r="G346" s="48"/>
      <c r="H346" s="48"/>
      <c r="I346" s="48"/>
      <c r="J346" s="48"/>
      <c r="K346" s="48"/>
      <c r="L346" s="48"/>
      <c r="M346" s="48"/>
      <c r="N346" s="48"/>
      <c r="O346" s="50"/>
      <c r="P346" s="52"/>
    </row>
    <row r="347" spans="1:16" ht="23.25" thickBot="1">
      <c r="A347" s="6" t="s">
        <v>2458</v>
      </c>
      <c r="B347" s="10" t="s">
        <v>2459</v>
      </c>
      <c r="C347" s="11" t="s">
        <v>2460</v>
      </c>
      <c r="D347" s="10" t="s">
        <v>2227</v>
      </c>
      <c r="E347" s="38" t="s">
        <v>2461</v>
      </c>
      <c r="F347" s="38" t="s">
        <v>2462</v>
      </c>
      <c r="G347" s="38"/>
      <c r="H347" s="38" t="s">
        <v>2129</v>
      </c>
      <c r="I347" s="38" t="s">
        <v>2124</v>
      </c>
      <c r="J347" s="38"/>
      <c r="K347" s="38" t="s">
        <v>2188</v>
      </c>
      <c r="L347" s="38" t="s">
        <v>2136</v>
      </c>
      <c r="M347" s="38">
        <v>1</v>
      </c>
      <c r="N347" s="38" t="s">
        <v>3869</v>
      </c>
      <c r="O347" s="10"/>
      <c r="P347" s="11"/>
    </row>
    <row r="348" spans="1:16" ht="15.75" thickBot="1">
      <c r="A348" s="6" t="s">
        <v>2463</v>
      </c>
      <c r="B348" s="10" t="s">
        <v>1164</v>
      </c>
      <c r="C348" s="11" t="s">
        <v>2464</v>
      </c>
      <c r="D348" s="10" t="s">
        <v>4010</v>
      </c>
      <c r="E348" s="38" t="s">
        <v>2465</v>
      </c>
      <c r="F348" s="38" t="s">
        <v>2466</v>
      </c>
      <c r="G348" s="38"/>
      <c r="H348" s="38" t="s">
        <v>1224</v>
      </c>
      <c r="I348" s="38" t="s">
        <v>2124</v>
      </c>
      <c r="J348" s="38"/>
      <c r="K348" s="38" t="s">
        <v>2157</v>
      </c>
      <c r="L348" s="38" t="s">
        <v>2130</v>
      </c>
      <c r="M348" s="38">
        <v>3</v>
      </c>
      <c r="N348" s="38" t="s">
        <v>2467</v>
      </c>
      <c r="O348" s="10"/>
      <c r="P348" s="25" t="str">
        <f>HYPERLINK("http://biade.itrust.de/biade/lpext.dll?f=id&amp;id=biadb%3Ar%3A510082&amp;t=main-h.htm","510082")</f>
        <v>510082</v>
      </c>
    </row>
    <row r="349" spans="1:16" ht="15.75" thickBot="1">
      <c r="A349" s="6" t="s">
        <v>2468</v>
      </c>
      <c r="B349" s="10"/>
      <c r="C349" s="11" t="s">
        <v>2469</v>
      </c>
      <c r="D349" s="10" t="s">
        <v>2470</v>
      </c>
      <c r="E349" s="38" t="s">
        <v>2471</v>
      </c>
      <c r="F349" s="38" t="s">
        <v>1231</v>
      </c>
      <c r="G349" s="38" t="s">
        <v>2472</v>
      </c>
      <c r="H349" s="38" t="s">
        <v>1232</v>
      </c>
      <c r="I349" s="38" t="s">
        <v>2124</v>
      </c>
      <c r="J349" s="38"/>
      <c r="K349" s="38" t="s">
        <v>2187</v>
      </c>
      <c r="L349" s="38" t="s">
        <v>2202</v>
      </c>
      <c r="M349" s="38">
        <v>2</v>
      </c>
      <c r="N349" s="38"/>
      <c r="O349" s="10"/>
      <c r="P349" s="25" t="str">
        <f>HYPERLINK("http://biade.itrust.de/biade/lpext.dll?f=id&amp;id=biadb%3Ar%3A011430&amp;t=main-h.htm","11430")</f>
        <v>11430</v>
      </c>
    </row>
    <row r="350" spans="1:16" ht="15">
      <c r="A350" s="49" t="s">
        <v>2473</v>
      </c>
      <c r="B350" s="49" t="s">
        <v>2474</v>
      </c>
      <c r="C350" s="51" t="s">
        <v>2475</v>
      </c>
      <c r="D350" s="49" t="s">
        <v>2476</v>
      </c>
      <c r="E350" s="47">
        <v>12</v>
      </c>
      <c r="F350" s="47" t="s">
        <v>2477</v>
      </c>
      <c r="G350" s="47"/>
      <c r="H350" s="47" t="s">
        <v>500</v>
      </c>
      <c r="I350" s="39">
        <v>2400</v>
      </c>
      <c r="J350" s="47">
        <v>4</v>
      </c>
      <c r="K350" s="47" t="s">
        <v>2457</v>
      </c>
      <c r="L350" s="47" t="s">
        <v>2202</v>
      </c>
      <c r="M350" s="47" t="s">
        <v>2221</v>
      </c>
      <c r="N350" s="47"/>
      <c r="O350" s="49"/>
      <c r="P350" s="51"/>
    </row>
    <row r="351" spans="1:16" ht="15.75" thickBot="1">
      <c r="A351" s="50"/>
      <c r="B351" s="50"/>
      <c r="C351" s="52"/>
      <c r="D351" s="50"/>
      <c r="E351" s="48"/>
      <c r="F351" s="48"/>
      <c r="G351" s="48"/>
      <c r="H351" s="48"/>
      <c r="I351" s="38">
        <v>1000</v>
      </c>
      <c r="J351" s="48"/>
      <c r="K351" s="48"/>
      <c r="L351" s="48"/>
      <c r="M351" s="48"/>
      <c r="N351" s="48"/>
      <c r="O351" s="50"/>
      <c r="P351" s="52"/>
    </row>
    <row r="352" spans="1:16" ht="15">
      <c r="A352" s="49" t="s">
        <v>2478</v>
      </c>
      <c r="B352" s="49" t="s">
        <v>1163</v>
      </c>
      <c r="C352" s="51" t="s">
        <v>2479</v>
      </c>
      <c r="D352" s="49" t="s">
        <v>3859</v>
      </c>
      <c r="E352" s="47">
        <v>11</v>
      </c>
      <c r="F352" s="47" t="s">
        <v>2480</v>
      </c>
      <c r="G352" s="47"/>
      <c r="H352" s="47" t="s">
        <v>2129</v>
      </c>
      <c r="I352" s="39">
        <v>64</v>
      </c>
      <c r="J352" s="47">
        <v>1</v>
      </c>
      <c r="K352" s="39" t="s">
        <v>3774</v>
      </c>
      <c r="L352" s="47" t="s">
        <v>2130</v>
      </c>
      <c r="M352" s="47">
        <v>1</v>
      </c>
      <c r="N352" s="47"/>
      <c r="O352" s="49"/>
      <c r="P352" s="51"/>
    </row>
    <row r="353" spans="1:16" ht="15.75" thickBot="1">
      <c r="A353" s="50"/>
      <c r="B353" s="50"/>
      <c r="C353" s="52"/>
      <c r="D353" s="50"/>
      <c r="E353" s="48"/>
      <c r="F353" s="48"/>
      <c r="G353" s="48"/>
      <c r="H353" s="48"/>
      <c r="I353" s="38">
        <v>20</v>
      </c>
      <c r="J353" s="48"/>
      <c r="K353" s="38" t="s">
        <v>2190</v>
      </c>
      <c r="L353" s="48"/>
      <c r="M353" s="48"/>
      <c r="N353" s="48"/>
      <c r="O353" s="50"/>
      <c r="P353" s="52"/>
    </row>
    <row r="354" spans="1:16" ht="15">
      <c r="A354" s="49" t="s">
        <v>2481</v>
      </c>
      <c r="B354" s="49" t="s">
        <v>1162</v>
      </c>
      <c r="C354" s="51" t="s">
        <v>2482</v>
      </c>
      <c r="D354" s="49" t="s">
        <v>2128</v>
      </c>
      <c r="E354" s="47">
        <v>22</v>
      </c>
      <c r="F354" s="47"/>
      <c r="G354" s="47"/>
      <c r="H354" s="47" t="s">
        <v>2129</v>
      </c>
      <c r="I354" s="39">
        <v>200</v>
      </c>
      <c r="J354" s="47">
        <v>4</v>
      </c>
      <c r="K354" s="47"/>
      <c r="L354" s="47" t="s">
        <v>2130</v>
      </c>
      <c r="M354" s="47">
        <v>1</v>
      </c>
      <c r="N354" s="47" t="s">
        <v>2144</v>
      </c>
      <c r="O354" s="49"/>
      <c r="P354" s="51"/>
    </row>
    <row r="355" spans="1:16" ht="15.75" thickBot="1">
      <c r="A355" s="50"/>
      <c r="B355" s="50"/>
      <c r="C355" s="52"/>
      <c r="D355" s="50"/>
      <c r="E355" s="48"/>
      <c r="F355" s="48"/>
      <c r="G355" s="48"/>
      <c r="H355" s="48"/>
      <c r="I355" s="38">
        <v>50</v>
      </c>
      <c r="J355" s="48"/>
      <c r="K355" s="48"/>
      <c r="L355" s="48"/>
      <c r="M355" s="48"/>
      <c r="N355" s="48"/>
      <c r="O355" s="50"/>
      <c r="P355" s="52"/>
    </row>
    <row r="356" spans="1:16" ht="15">
      <c r="A356" s="49" t="s">
        <v>2483</v>
      </c>
      <c r="B356" s="49"/>
      <c r="C356" s="51" t="s">
        <v>2484</v>
      </c>
      <c r="D356" s="49" t="s">
        <v>2128</v>
      </c>
      <c r="E356" s="47" t="s">
        <v>2485</v>
      </c>
      <c r="F356" s="47" t="s">
        <v>2486</v>
      </c>
      <c r="G356" s="47"/>
      <c r="H356" s="47" t="s">
        <v>2164</v>
      </c>
      <c r="I356" s="39">
        <v>310</v>
      </c>
      <c r="J356" s="47">
        <v>1</v>
      </c>
      <c r="K356" s="39" t="s">
        <v>3774</v>
      </c>
      <c r="L356" s="47" t="s">
        <v>2130</v>
      </c>
      <c r="M356" s="47">
        <v>1</v>
      </c>
      <c r="N356" s="47" t="s">
        <v>2144</v>
      </c>
      <c r="O356" s="49"/>
      <c r="P356" s="51"/>
    </row>
    <row r="357" spans="1:16" ht="15.75" thickBot="1">
      <c r="A357" s="50"/>
      <c r="B357" s="50"/>
      <c r="C357" s="52"/>
      <c r="D357" s="50"/>
      <c r="E357" s="48"/>
      <c r="F357" s="48"/>
      <c r="G357" s="48"/>
      <c r="H357" s="48"/>
      <c r="I357" s="38">
        <v>100</v>
      </c>
      <c r="J357" s="48"/>
      <c r="K357" s="38" t="s">
        <v>2190</v>
      </c>
      <c r="L357" s="48"/>
      <c r="M357" s="48"/>
      <c r="N357" s="48"/>
      <c r="O357" s="50"/>
      <c r="P357" s="52"/>
    </row>
    <row r="358" spans="1:16" ht="15.75" thickBot="1">
      <c r="A358" s="6" t="s">
        <v>2487</v>
      </c>
      <c r="B358" s="10"/>
      <c r="C358" s="11" t="s">
        <v>2488</v>
      </c>
      <c r="D358" s="10" t="s">
        <v>2134</v>
      </c>
      <c r="E358" s="38" t="s">
        <v>2489</v>
      </c>
      <c r="F358" s="38" t="s">
        <v>2490</v>
      </c>
      <c r="G358" s="38"/>
      <c r="H358" s="38" t="s">
        <v>2164</v>
      </c>
      <c r="I358" s="38" t="s">
        <v>2124</v>
      </c>
      <c r="J358" s="38"/>
      <c r="K358" s="38" t="s">
        <v>2491</v>
      </c>
      <c r="L358" s="38" t="s">
        <v>2130</v>
      </c>
      <c r="M358" s="38">
        <v>1</v>
      </c>
      <c r="N358" s="38"/>
      <c r="O358" s="10"/>
      <c r="P358" s="25" t="str">
        <f>HYPERLINK("http://biade.itrust.de/biade/lpext.dll?f=id&amp;id=biadb%3Ar%3A027200&amp;t=main-h.htm","27200")</f>
        <v>27200</v>
      </c>
    </row>
    <row r="359" spans="1:16" ht="15">
      <c r="A359" s="53" t="s">
        <v>2492</v>
      </c>
      <c r="B359" s="49" t="s">
        <v>2493</v>
      </c>
      <c r="C359" s="51" t="s">
        <v>2494</v>
      </c>
      <c r="D359" s="49" t="s">
        <v>2134</v>
      </c>
      <c r="E359" s="47" t="s">
        <v>2495</v>
      </c>
      <c r="F359" s="47" t="s">
        <v>2496</v>
      </c>
      <c r="G359" s="47"/>
      <c r="H359" s="47" t="s">
        <v>2129</v>
      </c>
      <c r="I359" s="39">
        <v>310</v>
      </c>
      <c r="J359" s="47">
        <v>1</v>
      </c>
      <c r="K359" s="39" t="s">
        <v>3774</v>
      </c>
      <c r="L359" s="47" t="s">
        <v>2130</v>
      </c>
      <c r="M359" s="47">
        <v>1</v>
      </c>
      <c r="N359" s="47"/>
      <c r="O359" s="49"/>
      <c r="P359" s="51"/>
    </row>
    <row r="360" spans="1:16" ht="15.75" thickBot="1">
      <c r="A360" s="54"/>
      <c r="B360" s="50"/>
      <c r="C360" s="52"/>
      <c r="D360" s="50"/>
      <c r="E360" s="48"/>
      <c r="F360" s="48"/>
      <c r="G360" s="48"/>
      <c r="H360" s="48"/>
      <c r="I360" s="38">
        <v>100</v>
      </c>
      <c r="J360" s="48"/>
      <c r="K360" s="38" t="s">
        <v>2190</v>
      </c>
      <c r="L360" s="48"/>
      <c r="M360" s="48"/>
      <c r="N360" s="48"/>
      <c r="O360" s="50"/>
      <c r="P360" s="52"/>
    </row>
    <row r="361" spans="1:16" ht="15">
      <c r="A361" s="53" t="s">
        <v>2497</v>
      </c>
      <c r="B361" s="49" t="s">
        <v>2498</v>
      </c>
      <c r="C361" s="51" t="s">
        <v>2499</v>
      </c>
      <c r="D361" s="49" t="s">
        <v>3778</v>
      </c>
      <c r="E361" s="47" t="s">
        <v>2500</v>
      </c>
      <c r="F361" s="47" t="s">
        <v>2477</v>
      </c>
      <c r="G361" s="47"/>
      <c r="H361" s="47" t="s">
        <v>2129</v>
      </c>
      <c r="I361" s="39">
        <v>62</v>
      </c>
      <c r="J361" s="47">
        <v>4</v>
      </c>
      <c r="K361" s="39" t="s">
        <v>3774</v>
      </c>
      <c r="L361" s="47" t="s">
        <v>2130</v>
      </c>
      <c r="M361" s="47">
        <v>1</v>
      </c>
      <c r="N361" s="47" t="s">
        <v>2144</v>
      </c>
      <c r="O361" s="49"/>
      <c r="P361" s="51"/>
    </row>
    <row r="362" spans="1:16" ht="15.75" thickBot="1">
      <c r="A362" s="54"/>
      <c r="B362" s="50"/>
      <c r="C362" s="52"/>
      <c r="D362" s="50"/>
      <c r="E362" s="48"/>
      <c r="F362" s="48"/>
      <c r="G362" s="48"/>
      <c r="H362" s="48"/>
      <c r="I362" s="38">
        <v>20</v>
      </c>
      <c r="J362" s="48"/>
      <c r="K362" s="38" t="s">
        <v>2190</v>
      </c>
      <c r="L362" s="48"/>
      <c r="M362" s="48"/>
      <c r="N362" s="48"/>
      <c r="O362" s="50"/>
      <c r="P362" s="52"/>
    </row>
    <row r="363" spans="1:16" ht="15">
      <c r="A363" s="49" t="s">
        <v>2501</v>
      </c>
      <c r="B363" s="49" t="s">
        <v>1161</v>
      </c>
      <c r="C363" s="51" t="s">
        <v>2502</v>
      </c>
      <c r="D363" s="49" t="s">
        <v>3771</v>
      </c>
      <c r="E363" s="47" t="s">
        <v>3772</v>
      </c>
      <c r="F363" s="47" t="s">
        <v>2477</v>
      </c>
      <c r="G363" s="47" t="s">
        <v>2183</v>
      </c>
      <c r="H363" s="47" t="s">
        <v>2164</v>
      </c>
      <c r="I363" s="39">
        <v>600</v>
      </c>
      <c r="J363" s="47">
        <v>1</v>
      </c>
      <c r="K363" s="47" t="s">
        <v>2503</v>
      </c>
      <c r="L363" s="47" t="s">
        <v>2130</v>
      </c>
      <c r="M363" s="47">
        <v>1</v>
      </c>
      <c r="N363" s="47" t="s">
        <v>1252</v>
      </c>
      <c r="O363" s="49"/>
      <c r="P363" s="51"/>
    </row>
    <row r="364" spans="1:16" ht="15.75" thickBot="1">
      <c r="A364" s="50"/>
      <c r="B364" s="50"/>
      <c r="C364" s="52"/>
      <c r="D364" s="50"/>
      <c r="E364" s="48"/>
      <c r="F364" s="48"/>
      <c r="G364" s="48"/>
      <c r="H364" s="48"/>
      <c r="I364" s="38">
        <v>200</v>
      </c>
      <c r="J364" s="48"/>
      <c r="K364" s="48"/>
      <c r="L364" s="48"/>
      <c r="M364" s="48"/>
      <c r="N364" s="48"/>
      <c r="O364" s="50"/>
      <c r="P364" s="52"/>
    </row>
    <row r="365" spans="1:16" ht="15.75" thickBot="1">
      <c r="A365" s="6" t="s">
        <v>2504</v>
      </c>
      <c r="B365" s="10" t="s">
        <v>2505</v>
      </c>
      <c r="C365" s="11" t="s">
        <v>2506</v>
      </c>
      <c r="D365" s="10" t="s">
        <v>2476</v>
      </c>
      <c r="E365" s="38">
        <v>12</v>
      </c>
      <c r="F365" s="38" t="s">
        <v>2507</v>
      </c>
      <c r="G365" s="38"/>
      <c r="H365" s="38" t="s">
        <v>500</v>
      </c>
      <c r="I365" s="38" t="s">
        <v>2124</v>
      </c>
      <c r="J365" s="38"/>
      <c r="K365" s="38" t="s">
        <v>2457</v>
      </c>
      <c r="L365" s="38" t="s">
        <v>2202</v>
      </c>
      <c r="M365" s="38" t="s">
        <v>2221</v>
      </c>
      <c r="N365" s="38"/>
      <c r="O365" s="10"/>
      <c r="P365" s="25" t="str">
        <f>HYPERLINK("http://biade.itrust.de/biade/lpext.dll?f=id&amp;id=biadb%3Ar%3A510088&amp;t=main-h.htm","510088")</f>
        <v>510088</v>
      </c>
    </row>
    <row r="366" spans="1:16" ht="15.75" thickBot="1">
      <c r="A366" s="6" t="s">
        <v>2508</v>
      </c>
      <c r="B366" s="10"/>
      <c r="C366" s="11" t="s">
        <v>2509</v>
      </c>
      <c r="D366" s="10" t="s">
        <v>2476</v>
      </c>
      <c r="E366" s="38">
        <v>12</v>
      </c>
      <c r="F366" s="38" t="s">
        <v>2507</v>
      </c>
      <c r="G366" s="38"/>
      <c r="H366" s="38" t="s">
        <v>500</v>
      </c>
      <c r="I366" s="38" t="s">
        <v>2124</v>
      </c>
      <c r="J366" s="38"/>
      <c r="K366" s="38" t="s">
        <v>2457</v>
      </c>
      <c r="L366" s="38" t="s">
        <v>2130</v>
      </c>
      <c r="M366" s="38" t="s">
        <v>2221</v>
      </c>
      <c r="N366" s="38"/>
      <c r="O366" s="10"/>
      <c r="P366" s="25" t="str">
        <f>HYPERLINK("http://biade.itrust.de/biade/lpext.dll?f=id&amp;id=biadb%3Ar%3A038140&amp;t=main-h.htm","38140")</f>
        <v>38140</v>
      </c>
    </row>
    <row r="367" spans="1:16" ht="15">
      <c r="A367" s="49" t="s">
        <v>2510</v>
      </c>
      <c r="B367" s="49" t="s">
        <v>2511</v>
      </c>
      <c r="C367" s="51" t="s">
        <v>2512</v>
      </c>
      <c r="D367" s="49" t="s">
        <v>2513</v>
      </c>
      <c r="E367" s="47" t="s">
        <v>2514</v>
      </c>
      <c r="F367" s="47" t="s">
        <v>2515</v>
      </c>
      <c r="G367" s="47" t="s">
        <v>2183</v>
      </c>
      <c r="H367" s="47" t="s">
        <v>3220</v>
      </c>
      <c r="I367" s="39" t="s">
        <v>2516</v>
      </c>
      <c r="J367" s="47">
        <v>1</v>
      </c>
      <c r="K367" s="47" t="s">
        <v>2157</v>
      </c>
      <c r="L367" s="47" t="s">
        <v>2165</v>
      </c>
      <c r="M367" s="47">
        <v>2</v>
      </c>
      <c r="N367" s="47" t="s">
        <v>2517</v>
      </c>
      <c r="O367" s="49"/>
      <c r="P367" s="51"/>
    </row>
    <row r="368" spans="1:16" ht="15.75" thickBot="1">
      <c r="A368" s="50"/>
      <c r="B368" s="50"/>
      <c r="C368" s="52"/>
      <c r="D368" s="50"/>
      <c r="E368" s="48"/>
      <c r="F368" s="48"/>
      <c r="G368" s="48"/>
      <c r="H368" s="48"/>
      <c r="I368" s="38" t="s">
        <v>2124</v>
      </c>
      <c r="J368" s="48"/>
      <c r="K368" s="48"/>
      <c r="L368" s="48"/>
      <c r="M368" s="48"/>
      <c r="N368" s="48"/>
      <c r="O368" s="50"/>
      <c r="P368" s="52"/>
    </row>
    <row r="369" spans="1:16" ht="22.5" customHeight="1">
      <c r="A369" s="49" t="s">
        <v>2518</v>
      </c>
      <c r="B369" s="49" t="s">
        <v>2519</v>
      </c>
      <c r="C369" s="51" t="s">
        <v>2520</v>
      </c>
      <c r="D369" s="49" t="s">
        <v>2128</v>
      </c>
      <c r="E369" s="47" t="s">
        <v>2521</v>
      </c>
      <c r="F369" s="47">
        <v>24</v>
      </c>
      <c r="G369" s="47" t="s">
        <v>2183</v>
      </c>
      <c r="H369" s="47" t="s">
        <v>2164</v>
      </c>
      <c r="I369" s="39">
        <v>130</v>
      </c>
      <c r="J369" s="47">
        <v>4</v>
      </c>
      <c r="K369" s="47"/>
      <c r="L369" s="47" t="s">
        <v>2130</v>
      </c>
      <c r="M369" s="47">
        <v>1</v>
      </c>
      <c r="N369" s="47" t="s">
        <v>2144</v>
      </c>
      <c r="O369" s="49"/>
      <c r="P369" s="51"/>
    </row>
    <row r="370" spans="1:16" ht="15.75" thickBot="1">
      <c r="A370" s="50"/>
      <c r="B370" s="50"/>
      <c r="C370" s="52"/>
      <c r="D370" s="50"/>
      <c r="E370" s="48"/>
      <c r="F370" s="48"/>
      <c r="G370" s="48"/>
      <c r="H370" s="48"/>
      <c r="I370" s="38">
        <v>20</v>
      </c>
      <c r="J370" s="48"/>
      <c r="K370" s="48"/>
      <c r="L370" s="48"/>
      <c r="M370" s="48"/>
      <c r="N370" s="48"/>
      <c r="O370" s="50"/>
      <c r="P370" s="52"/>
    </row>
    <row r="371" spans="1:16" ht="15.75" thickBot="1">
      <c r="A371" s="6" t="s">
        <v>2522</v>
      </c>
      <c r="B371" s="10" t="s">
        <v>1160</v>
      </c>
      <c r="C371" s="11" t="s">
        <v>2523</v>
      </c>
      <c r="D371" s="10" t="s">
        <v>2227</v>
      </c>
      <c r="E371" s="38">
        <v>34</v>
      </c>
      <c r="F371" s="38" t="s">
        <v>2524</v>
      </c>
      <c r="G371" s="38"/>
      <c r="H371" s="38" t="s">
        <v>2164</v>
      </c>
      <c r="I371" s="38" t="s">
        <v>2124</v>
      </c>
      <c r="J371" s="38"/>
      <c r="K371" s="38" t="s">
        <v>2188</v>
      </c>
      <c r="L371" s="38" t="s">
        <v>2130</v>
      </c>
      <c r="M371" s="38">
        <v>1</v>
      </c>
      <c r="N371" s="38" t="s">
        <v>3792</v>
      </c>
      <c r="O371" s="10"/>
      <c r="P371" s="25" t="str">
        <f>HYPERLINK("http://biade.itrust.de/biade/lpext.dll?f=id&amp;id=biadb%3Ar%3A012610&amp;t=main-h.htm","12610")</f>
        <v>12610</v>
      </c>
    </row>
    <row r="372" spans="1:16" ht="15.75" thickBot="1">
      <c r="A372" s="17" t="s">
        <v>2525</v>
      </c>
      <c r="B372" s="10" t="s">
        <v>1159</v>
      </c>
      <c r="C372" s="11" t="s">
        <v>2526</v>
      </c>
      <c r="D372" s="10" t="s">
        <v>2128</v>
      </c>
      <c r="E372" s="38" t="s">
        <v>4025</v>
      </c>
      <c r="F372" s="38"/>
      <c r="G372" s="38"/>
      <c r="H372" s="38" t="s">
        <v>2164</v>
      </c>
      <c r="I372" s="38" t="s">
        <v>2124</v>
      </c>
      <c r="J372" s="38"/>
      <c r="K372" s="38" t="s">
        <v>2188</v>
      </c>
      <c r="L372" s="38" t="s">
        <v>2130</v>
      </c>
      <c r="M372" s="38">
        <v>1</v>
      </c>
      <c r="N372" s="38" t="s">
        <v>2144</v>
      </c>
      <c r="O372" s="10"/>
      <c r="P372" s="25" t="str">
        <f>HYPERLINK("http://biade.itrust.de/biade/lpext.dll?f=id&amp;id=biadb%3Ar%3A028040&amp;t=main-h.htm","28040")</f>
        <v>28040</v>
      </c>
    </row>
    <row r="373" spans="1:16" ht="26.25" thickBot="1">
      <c r="A373" s="6" t="s">
        <v>934</v>
      </c>
      <c r="B373" s="18" t="s">
        <v>1158</v>
      </c>
      <c r="C373" s="11" t="s">
        <v>2527</v>
      </c>
      <c r="D373" s="10" t="s">
        <v>3859</v>
      </c>
      <c r="E373" s="38">
        <v>11</v>
      </c>
      <c r="F373" s="38" t="s">
        <v>2528</v>
      </c>
      <c r="G373" s="38"/>
      <c r="H373" s="38" t="s">
        <v>2129</v>
      </c>
      <c r="I373" s="38" t="s">
        <v>2124</v>
      </c>
      <c r="J373" s="38"/>
      <c r="K373" s="38" t="s">
        <v>2188</v>
      </c>
      <c r="L373" s="38" t="s">
        <v>2194</v>
      </c>
      <c r="M373" s="38">
        <v>1</v>
      </c>
      <c r="N373" s="38"/>
      <c r="O373" s="10"/>
      <c r="P373" s="25" t="str">
        <f>HYPERLINK("http://biade.itrust.de/biade/lpext.dll?f=id&amp;id=biadb%3Ar%3A493153&amp;t=main-h.htm","493153")</f>
        <v>493153</v>
      </c>
    </row>
    <row r="374" spans="1:16" ht="15.75" thickBot="1">
      <c r="A374" s="17" t="s">
        <v>2529</v>
      </c>
      <c r="B374" s="10" t="s">
        <v>2530</v>
      </c>
      <c r="C374" s="11" t="s">
        <v>2531</v>
      </c>
      <c r="D374" s="10"/>
      <c r="E374" s="38" t="s">
        <v>2532</v>
      </c>
      <c r="F374" s="38">
        <v>25</v>
      </c>
      <c r="G374" s="38"/>
      <c r="H374" s="38" t="s">
        <v>1276</v>
      </c>
      <c r="I374" s="38" t="s">
        <v>2124</v>
      </c>
      <c r="J374" s="38"/>
      <c r="K374" s="38" t="s">
        <v>2533</v>
      </c>
      <c r="L374" s="38" t="s">
        <v>2130</v>
      </c>
      <c r="M374" s="38">
        <v>1</v>
      </c>
      <c r="N374" s="38"/>
      <c r="O374" s="10"/>
      <c r="P374" s="25" t="str">
        <f>HYPERLINK("http://biade.itrust.de/biade/lpext.dll?f=id&amp;id=biadb%3Ar%3A013320&amp;t=main-h.htm","13320")</f>
        <v>13320</v>
      </c>
    </row>
    <row r="375" spans="1:16" ht="15.75" thickBot="1">
      <c r="A375" s="17" t="s">
        <v>2534</v>
      </c>
      <c r="B375" s="10" t="s">
        <v>2535</v>
      </c>
      <c r="C375" s="11" t="s">
        <v>2536</v>
      </c>
      <c r="D375" s="10" t="s">
        <v>3859</v>
      </c>
      <c r="E375" s="38" t="s">
        <v>2537</v>
      </c>
      <c r="F375" s="38" t="s">
        <v>2538</v>
      </c>
      <c r="G375" s="38"/>
      <c r="H375" s="38" t="s">
        <v>2447</v>
      </c>
      <c r="I375" s="38" t="s">
        <v>2124</v>
      </c>
      <c r="J375" s="38"/>
      <c r="K375" s="38" t="s">
        <v>2539</v>
      </c>
      <c r="L375" s="38" t="s">
        <v>2130</v>
      </c>
      <c r="M375" s="38">
        <v>1</v>
      </c>
      <c r="N375" s="38"/>
      <c r="O375" s="10"/>
      <c r="P375" s="25" t="str">
        <f>HYPERLINK("http://biade.itrust.de/biade/lpext.dll?f=id&amp;id=biadb%3Ar%3A036860&amp;t=main-h.htm","36860")</f>
        <v>36860</v>
      </c>
    </row>
    <row r="376" spans="1:16" ht="15">
      <c r="A376" s="53" t="s">
        <v>2540</v>
      </c>
      <c r="B376" s="49" t="s">
        <v>2541</v>
      </c>
      <c r="C376" s="51" t="s">
        <v>2542</v>
      </c>
      <c r="D376" s="49" t="s">
        <v>2134</v>
      </c>
      <c r="E376" s="47" t="s">
        <v>2543</v>
      </c>
      <c r="F376" s="47">
        <v>9</v>
      </c>
      <c r="G376" s="47" t="s">
        <v>2184</v>
      </c>
      <c r="H376" s="47" t="s">
        <v>2164</v>
      </c>
      <c r="I376" s="39">
        <v>11</v>
      </c>
      <c r="J376" s="47">
        <v>2</v>
      </c>
      <c r="K376" s="47" t="s">
        <v>2533</v>
      </c>
      <c r="L376" s="47" t="s">
        <v>2130</v>
      </c>
      <c r="M376" s="47">
        <v>1</v>
      </c>
      <c r="N376" s="47" t="s">
        <v>1252</v>
      </c>
      <c r="O376" s="49"/>
      <c r="P376" s="51"/>
    </row>
    <row r="377" spans="1:16" ht="15.75" thickBot="1">
      <c r="A377" s="54"/>
      <c r="B377" s="50"/>
      <c r="C377" s="52"/>
      <c r="D377" s="50"/>
      <c r="E377" s="48"/>
      <c r="F377" s="48"/>
      <c r="G377" s="48"/>
      <c r="H377" s="48"/>
      <c r="I377" s="38">
        <v>2</v>
      </c>
      <c r="J377" s="48"/>
      <c r="K377" s="48"/>
      <c r="L377" s="48"/>
      <c r="M377" s="48"/>
      <c r="N377" s="48"/>
      <c r="O377" s="50"/>
      <c r="P377" s="52"/>
    </row>
    <row r="378" spans="1:16" ht="26.25" thickBot="1">
      <c r="A378" s="6" t="s">
        <v>2544</v>
      </c>
      <c r="B378" s="10" t="s">
        <v>2545</v>
      </c>
      <c r="C378" s="11"/>
      <c r="D378" s="10" t="s">
        <v>2546</v>
      </c>
      <c r="E378" s="38" t="s">
        <v>2547</v>
      </c>
      <c r="F378" s="38" t="s">
        <v>2548</v>
      </c>
      <c r="G378" s="38"/>
      <c r="H378" s="38" t="s">
        <v>2549</v>
      </c>
      <c r="I378" s="38" t="s">
        <v>2124</v>
      </c>
      <c r="J378" s="38"/>
      <c r="K378" s="38" t="s">
        <v>2533</v>
      </c>
      <c r="L378" s="38" t="s">
        <v>2201</v>
      </c>
      <c r="M378" s="38">
        <v>2</v>
      </c>
      <c r="N378" s="38"/>
      <c r="O378" s="10"/>
      <c r="P378" s="11"/>
    </row>
    <row r="379" spans="1:16" ht="22.5" customHeight="1">
      <c r="A379" s="49" t="s">
        <v>935</v>
      </c>
      <c r="B379" s="49" t="s">
        <v>1157</v>
      </c>
      <c r="C379" s="51" t="s">
        <v>2550</v>
      </c>
      <c r="D379" s="49" t="s">
        <v>3771</v>
      </c>
      <c r="E379" s="47" t="s">
        <v>2551</v>
      </c>
      <c r="F379" s="47" t="s">
        <v>2552</v>
      </c>
      <c r="G379" s="47"/>
      <c r="H379" s="47" t="s">
        <v>2164</v>
      </c>
      <c r="I379" s="39">
        <v>180</v>
      </c>
      <c r="J379" s="47">
        <v>1.5</v>
      </c>
      <c r="K379" s="47" t="s">
        <v>2533</v>
      </c>
      <c r="L379" s="47" t="s">
        <v>2130</v>
      </c>
      <c r="M379" s="47">
        <v>1</v>
      </c>
      <c r="N379" s="47"/>
      <c r="O379" s="49"/>
      <c r="P379" s="51"/>
    </row>
    <row r="380" spans="1:16" ht="15.75" thickBot="1">
      <c r="A380" s="50"/>
      <c r="B380" s="50"/>
      <c r="C380" s="52"/>
      <c r="D380" s="50"/>
      <c r="E380" s="48"/>
      <c r="F380" s="48"/>
      <c r="G380" s="48"/>
      <c r="H380" s="48"/>
      <c r="I380" s="38">
        <v>50</v>
      </c>
      <c r="J380" s="48"/>
      <c r="K380" s="48"/>
      <c r="L380" s="48"/>
      <c r="M380" s="48"/>
      <c r="N380" s="48"/>
      <c r="O380" s="50"/>
      <c r="P380" s="52"/>
    </row>
    <row r="381" spans="1:16" ht="15">
      <c r="A381" s="49" t="s">
        <v>2553</v>
      </c>
      <c r="B381" s="49" t="s">
        <v>2554</v>
      </c>
      <c r="C381" s="51" t="s">
        <v>2555</v>
      </c>
      <c r="D381" s="49" t="s">
        <v>2128</v>
      </c>
      <c r="E381" s="47" t="s">
        <v>2556</v>
      </c>
      <c r="F381" s="47" t="s">
        <v>2557</v>
      </c>
      <c r="G381" s="47" t="s">
        <v>2183</v>
      </c>
      <c r="H381" s="47" t="s">
        <v>2447</v>
      </c>
      <c r="I381" s="39" t="s">
        <v>2558</v>
      </c>
      <c r="J381" s="47" t="s">
        <v>2222</v>
      </c>
      <c r="K381" s="47"/>
      <c r="L381" s="47" t="s">
        <v>2130</v>
      </c>
      <c r="M381" s="47" t="s">
        <v>2228</v>
      </c>
      <c r="N381" s="47" t="s">
        <v>2144</v>
      </c>
      <c r="O381" s="49"/>
      <c r="P381" s="51"/>
    </row>
    <row r="382" spans="1:16" ht="15.75" thickBot="1">
      <c r="A382" s="50"/>
      <c r="B382" s="50"/>
      <c r="C382" s="52"/>
      <c r="D382" s="50"/>
      <c r="E382" s="48"/>
      <c r="F382" s="48"/>
      <c r="G382" s="48"/>
      <c r="H382" s="48"/>
      <c r="I382" s="38" t="s">
        <v>2559</v>
      </c>
      <c r="J382" s="48"/>
      <c r="K382" s="48"/>
      <c r="L382" s="48"/>
      <c r="M382" s="48"/>
      <c r="N382" s="48"/>
      <c r="O382" s="50"/>
      <c r="P382" s="52"/>
    </row>
    <row r="383" spans="1:16" ht="15.75" thickBot="1">
      <c r="A383" s="6" t="s">
        <v>2560</v>
      </c>
      <c r="B383" s="10"/>
      <c r="C383" s="11" t="s">
        <v>2561</v>
      </c>
      <c r="D383" s="10" t="s">
        <v>2128</v>
      </c>
      <c r="E383" s="38" t="s">
        <v>2149</v>
      </c>
      <c r="F383" s="38"/>
      <c r="G383" s="38"/>
      <c r="H383" s="38" t="s">
        <v>2164</v>
      </c>
      <c r="I383" s="38" t="s">
        <v>2124</v>
      </c>
      <c r="J383" s="38"/>
      <c r="K383" s="38"/>
      <c r="L383" s="38" t="s">
        <v>2130</v>
      </c>
      <c r="M383" s="38">
        <v>1</v>
      </c>
      <c r="N383" s="38"/>
      <c r="O383" s="10"/>
      <c r="P383" s="25" t="str">
        <f>HYPERLINK("http://biade.itrust.de/biade/lpext.dll?f=id&amp;id=biadb%3Ar%3A028150&amp;t=main-h.htm","28150")</f>
        <v>28150</v>
      </c>
    </row>
    <row r="384" spans="1:16" ht="16.5" thickBot="1">
      <c r="A384" s="6" t="s">
        <v>2562</v>
      </c>
      <c r="B384" s="10" t="s">
        <v>2563</v>
      </c>
      <c r="C384" s="11" t="s">
        <v>2564</v>
      </c>
      <c r="D384" s="10" t="s">
        <v>828</v>
      </c>
      <c r="E384" s="38" t="s">
        <v>2565</v>
      </c>
      <c r="F384" s="38" t="s">
        <v>2154</v>
      </c>
      <c r="G384" s="38" t="s">
        <v>2566</v>
      </c>
      <c r="H384" s="38" t="s">
        <v>2567</v>
      </c>
      <c r="I384" s="38" t="s">
        <v>2124</v>
      </c>
      <c r="J384" s="38"/>
      <c r="K384" s="38" t="s">
        <v>2157</v>
      </c>
      <c r="L384" s="38" t="s">
        <v>2136</v>
      </c>
      <c r="M384" s="38">
        <v>3</v>
      </c>
      <c r="N384" s="38"/>
      <c r="O384" s="10"/>
      <c r="P384" s="25" t="str">
        <f>HYPERLINK("http://biade.itrust.de/biade/lpext.dll?f=id&amp;id=biadb%3Ar%3A008360&amp;t=main-h.htm","8360")</f>
        <v>8360</v>
      </c>
    </row>
    <row r="385" spans="1:16" ht="22.5">
      <c r="A385" s="49" t="s">
        <v>2568</v>
      </c>
      <c r="B385" s="49"/>
      <c r="C385" s="8" t="s">
        <v>2569</v>
      </c>
      <c r="D385" s="49" t="s">
        <v>3961</v>
      </c>
      <c r="E385" s="47" t="s">
        <v>2571</v>
      </c>
      <c r="F385" s="47" t="s">
        <v>765</v>
      </c>
      <c r="G385" s="47" t="s">
        <v>2180</v>
      </c>
      <c r="H385" s="47" t="s">
        <v>1232</v>
      </c>
      <c r="I385" s="47" t="s">
        <v>2124</v>
      </c>
      <c r="J385" s="47"/>
      <c r="K385" s="47" t="s">
        <v>2187</v>
      </c>
      <c r="L385" s="47" t="s">
        <v>2165</v>
      </c>
      <c r="M385" s="47">
        <v>3</v>
      </c>
      <c r="N385" s="47" t="s">
        <v>2572</v>
      </c>
      <c r="O385" s="49"/>
      <c r="P385" s="36" t="str">
        <f>HYPERLINK("http://biade.itrust.de/biade/lpext.dll?f=id&amp;id=biadb%3Ar%3A510545&amp;t=main-h.htm","510545")</f>
        <v>510545</v>
      </c>
    </row>
    <row r="386" spans="1:16" ht="34.5" thickBot="1">
      <c r="A386" s="50"/>
      <c r="B386" s="50"/>
      <c r="C386" s="11" t="s">
        <v>2570</v>
      </c>
      <c r="D386" s="50"/>
      <c r="E386" s="48"/>
      <c r="F386" s="48"/>
      <c r="G386" s="48"/>
      <c r="H386" s="48"/>
      <c r="I386" s="48"/>
      <c r="J386" s="48"/>
      <c r="K386" s="48"/>
      <c r="L386" s="48"/>
      <c r="M386" s="48"/>
      <c r="N386" s="48"/>
      <c r="O386" s="50"/>
      <c r="P386" s="25" t="str">
        <f>HYPERLINK("http://biade.itrust.de/biade/lpext.dll?f=id&amp;id=biadb%3Ar%3A510545&amp;t=main-h.htm","510545")</f>
        <v>510545</v>
      </c>
    </row>
    <row r="387" spans="1:16" ht="15.75" thickBot="1">
      <c r="A387" s="6" t="s">
        <v>2573</v>
      </c>
      <c r="B387" s="10"/>
      <c r="C387" s="11" t="s">
        <v>2574</v>
      </c>
      <c r="D387" s="10" t="s">
        <v>3961</v>
      </c>
      <c r="E387" s="38" t="s">
        <v>2571</v>
      </c>
      <c r="F387" s="38" t="s">
        <v>765</v>
      </c>
      <c r="G387" s="38" t="s">
        <v>2180</v>
      </c>
      <c r="H387" s="38" t="s">
        <v>1232</v>
      </c>
      <c r="I387" s="38" t="s">
        <v>2124</v>
      </c>
      <c r="J387" s="38"/>
      <c r="K387" s="38" t="s">
        <v>2187</v>
      </c>
      <c r="L387" s="38" t="s">
        <v>2136</v>
      </c>
      <c r="M387" s="38">
        <v>3</v>
      </c>
      <c r="N387" s="38" t="s">
        <v>2572</v>
      </c>
      <c r="O387" s="10"/>
      <c r="P387" s="25" t="str">
        <f>HYPERLINK("http://biade.itrust.de/biade/lpext.dll?f=id&amp;id=biadb%3Ar%3A003350&amp;t=main-h.htm","3350")</f>
        <v>3350</v>
      </c>
    </row>
    <row r="388" spans="1:16" ht="22.5">
      <c r="A388" s="49" t="s">
        <v>2575</v>
      </c>
      <c r="B388" s="49"/>
      <c r="C388" s="8" t="s">
        <v>2576</v>
      </c>
      <c r="D388" s="49" t="s">
        <v>828</v>
      </c>
      <c r="E388" s="47" t="s">
        <v>2579</v>
      </c>
      <c r="F388" s="47" t="s">
        <v>2154</v>
      </c>
      <c r="G388" s="47" t="s">
        <v>2580</v>
      </c>
      <c r="H388" s="47" t="s">
        <v>1232</v>
      </c>
      <c r="I388" s="47" t="s">
        <v>2124</v>
      </c>
      <c r="J388" s="47"/>
      <c r="K388" s="47" t="s">
        <v>2187</v>
      </c>
      <c r="L388" s="47" t="s">
        <v>2136</v>
      </c>
      <c r="M388" s="47">
        <v>3</v>
      </c>
      <c r="N388" s="47" t="s">
        <v>2581</v>
      </c>
      <c r="O388" s="49"/>
      <c r="P388" s="36" t="str">
        <f>HYPERLINK("http://biade.itrust.de/biade/lpext.dll?f=id&amp;id=biadb%3Ar%3A003310&amp;t=main-h.htm","3310")</f>
        <v>3310</v>
      </c>
    </row>
    <row r="389" spans="1:16" ht="45">
      <c r="A389" s="56"/>
      <c r="B389" s="56"/>
      <c r="C389" s="8" t="s">
        <v>2577</v>
      </c>
      <c r="D389" s="56"/>
      <c r="E389" s="55"/>
      <c r="F389" s="55"/>
      <c r="G389" s="55"/>
      <c r="H389" s="55"/>
      <c r="I389" s="55"/>
      <c r="J389" s="55"/>
      <c r="K389" s="55"/>
      <c r="L389" s="55"/>
      <c r="M389" s="55"/>
      <c r="N389" s="55"/>
      <c r="O389" s="56"/>
      <c r="P389" s="36" t="str">
        <f>HYPERLINK("http://biade.itrust.de/biade/lpext.dll?f=id&amp;id=biadb%3Ar%3A003310&amp;t=main-h.htm","3310")</f>
        <v>3310</v>
      </c>
    </row>
    <row r="390" spans="1:16" ht="34.5" thickBot="1">
      <c r="A390" s="50"/>
      <c r="B390" s="50"/>
      <c r="C390" s="11" t="s">
        <v>2578</v>
      </c>
      <c r="D390" s="50"/>
      <c r="E390" s="48"/>
      <c r="F390" s="48"/>
      <c r="G390" s="48"/>
      <c r="H390" s="48"/>
      <c r="I390" s="48"/>
      <c r="J390" s="48"/>
      <c r="K390" s="48"/>
      <c r="L390" s="48"/>
      <c r="M390" s="48"/>
      <c r="N390" s="48"/>
      <c r="O390" s="50"/>
      <c r="P390" s="25" t="str">
        <f>HYPERLINK("http://biade.itrust.de/biade/lpext.dll?f=id&amp;id=biadb%3Ar%3A003310&amp;t=main-h.htm","3310")</f>
        <v>3310</v>
      </c>
    </row>
    <row r="391" spans="1:16" ht="15.75" thickBot="1">
      <c r="A391" s="21" t="s">
        <v>2582</v>
      </c>
      <c r="B391" s="22"/>
      <c r="C391" s="23" t="s">
        <v>2583</v>
      </c>
      <c r="D391" s="22" t="s">
        <v>828</v>
      </c>
      <c r="E391" s="43" t="s">
        <v>2584</v>
      </c>
      <c r="F391" s="43" t="s">
        <v>2585</v>
      </c>
      <c r="G391" s="43" t="s">
        <v>2180</v>
      </c>
      <c r="H391" s="43" t="s">
        <v>2185</v>
      </c>
      <c r="I391" s="43" t="s">
        <v>2124</v>
      </c>
      <c r="J391" s="43"/>
      <c r="K391" s="43" t="s">
        <v>2187</v>
      </c>
      <c r="L391" s="43" t="s">
        <v>2208</v>
      </c>
      <c r="M391" s="43">
        <v>3</v>
      </c>
      <c r="N391" s="43" t="s">
        <v>2586</v>
      </c>
      <c r="O391" s="22"/>
      <c r="P391" s="35" t="str">
        <f>HYPERLINK("http://biade.itrust.de/biade/lpext.dll?f=id&amp;id=biadb%3Ar%3A500023&amp;t=main-h.htm","500023")</f>
        <v>500023</v>
      </c>
    </row>
    <row r="392" spans="1:16" ht="16.5" thickBot="1">
      <c r="A392" s="6" t="s">
        <v>2587</v>
      </c>
      <c r="B392" s="10"/>
      <c r="C392" s="11" t="s">
        <v>2588</v>
      </c>
      <c r="D392" s="10" t="s">
        <v>828</v>
      </c>
      <c r="E392" s="38" t="s">
        <v>2579</v>
      </c>
      <c r="F392" s="38" t="s">
        <v>2154</v>
      </c>
      <c r="G392" s="38" t="s">
        <v>2589</v>
      </c>
      <c r="H392" s="38" t="s">
        <v>2185</v>
      </c>
      <c r="I392" s="38" t="s">
        <v>2124</v>
      </c>
      <c r="J392" s="38"/>
      <c r="K392" s="38" t="s">
        <v>2187</v>
      </c>
      <c r="L392" s="38" t="s">
        <v>2211</v>
      </c>
      <c r="M392" s="38">
        <v>3</v>
      </c>
      <c r="N392" s="38" t="s">
        <v>2590</v>
      </c>
      <c r="O392" s="10"/>
      <c r="P392" s="25" t="str">
        <f>HYPERLINK("http://biade.itrust.de/biade/lpext.dll?f=id&amp;id=biadb%3Ar%3A500024&amp;t=main-h.htm","500024")</f>
        <v>500024</v>
      </c>
    </row>
    <row r="393" spans="1:16" ht="15.75" thickBot="1">
      <c r="A393" s="6" t="s">
        <v>2591</v>
      </c>
      <c r="B393" s="10" t="s">
        <v>2592</v>
      </c>
      <c r="C393" s="11" t="s">
        <v>2593</v>
      </c>
      <c r="D393" s="10" t="s">
        <v>2152</v>
      </c>
      <c r="E393" s="38" t="s">
        <v>2594</v>
      </c>
      <c r="F393" s="38" t="s">
        <v>2595</v>
      </c>
      <c r="G393" s="38" t="s">
        <v>2180</v>
      </c>
      <c r="H393" s="38" t="s">
        <v>1232</v>
      </c>
      <c r="I393" s="38" t="s">
        <v>2124</v>
      </c>
      <c r="J393" s="38"/>
      <c r="K393" s="38" t="s">
        <v>2187</v>
      </c>
      <c r="L393" s="38" t="s">
        <v>2165</v>
      </c>
      <c r="M393" s="38">
        <v>3</v>
      </c>
      <c r="N393" s="38" t="s">
        <v>2596</v>
      </c>
      <c r="O393" s="10"/>
      <c r="P393" s="25" t="str">
        <f>HYPERLINK("http://biade.itrust.de/biade/lpext.dll?f=id&amp;id=biadb%3Ar%3A510103&amp;t=main-h.htm","510103")</f>
        <v>510103</v>
      </c>
    </row>
    <row r="394" spans="1:16" ht="15.75" thickBot="1">
      <c r="A394" s="6" t="s">
        <v>2597</v>
      </c>
      <c r="B394" s="10"/>
      <c r="C394" s="11" t="s">
        <v>2598</v>
      </c>
      <c r="D394" s="10" t="s">
        <v>2152</v>
      </c>
      <c r="E394" s="38" t="s">
        <v>2594</v>
      </c>
      <c r="F394" s="38" t="s">
        <v>2595</v>
      </c>
      <c r="G394" s="38" t="s">
        <v>2180</v>
      </c>
      <c r="H394" s="38" t="s">
        <v>1232</v>
      </c>
      <c r="I394" s="38" t="s">
        <v>2124</v>
      </c>
      <c r="J394" s="38"/>
      <c r="K394" s="38" t="s">
        <v>2187</v>
      </c>
      <c r="L394" s="38" t="s">
        <v>2136</v>
      </c>
      <c r="M394" s="38">
        <v>3</v>
      </c>
      <c r="N394" s="38" t="s">
        <v>2599</v>
      </c>
      <c r="O394" s="10"/>
      <c r="P394" s="25" t="str">
        <f>HYPERLINK("http://biade.itrust.de/biade/lpext.dll?f=id&amp;id=biadb%3Ar%3A500026&amp;t=main-h.htm","500026")</f>
        <v>500026</v>
      </c>
    </row>
    <row r="395" spans="1:16" ht="22.5">
      <c r="A395" s="49" t="s">
        <v>2600</v>
      </c>
      <c r="B395" s="49"/>
      <c r="C395" s="8" t="s">
        <v>2601</v>
      </c>
      <c r="D395" s="49" t="s">
        <v>3961</v>
      </c>
      <c r="E395" s="47" t="s">
        <v>2571</v>
      </c>
      <c r="F395" s="47" t="s">
        <v>765</v>
      </c>
      <c r="G395" s="47" t="s">
        <v>2180</v>
      </c>
      <c r="H395" s="47" t="s">
        <v>1232</v>
      </c>
      <c r="I395" s="47" t="s">
        <v>2124</v>
      </c>
      <c r="J395" s="47"/>
      <c r="K395" s="47" t="s">
        <v>2187</v>
      </c>
      <c r="L395" s="47" t="s">
        <v>2136</v>
      </c>
      <c r="M395" s="47">
        <v>3</v>
      </c>
      <c r="N395" s="47" t="s">
        <v>2572</v>
      </c>
      <c r="O395" s="49"/>
      <c r="P395" s="36" t="str">
        <f>HYPERLINK("http://biade.itrust.de/biade/lpext.dll?f=id&amp;id=biadb%3Ar%3A500068&amp;t=main-h.htm","500068")</f>
        <v>500068</v>
      </c>
    </row>
    <row r="396" spans="1:16" ht="34.5" thickBot="1">
      <c r="A396" s="50"/>
      <c r="B396" s="50"/>
      <c r="C396" s="11" t="s">
        <v>2602</v>
      </c>
      <c r="D396" s="50"/>
      <c r="E396" s="48"/>
      <c r="F396" s="48"/>
      <c r="G396" s="48"/>
      <c r="H396" s="48"/>
      <c r="I396" s="48"/>
      <c r="J396" s="48"/>
      <c r="K396" s="48"/>
      <c r="L396" s="48"/>
      <c r="M396" s="48"/>
      <c r="N396" s="48"/>
      <c r="O396" s="50"/>
      <c r="P396" s="25" t="str">
        <f>HYPERLINK("http://biade.itrust.de/biade/lpext.dll?f=id&amp;id=biadb%3Ar%3A500068&amp;t=main-h.htm","500068")</f>
        <v>500068</v>
      </c>
    </row>
    <row r="397" spans="1:16" ht="16.5" thickBot="1">
      <c r="A397" s="6" t="s">
        <v>2603</v>
      </c>
      <c r="B397" s="10" t="s">
        <v>2604</v>
      </c>
      <c r="C397" s="11" t="s">
        <v>2605</v>
      </c>
      <c r="D397" s="10" t="s">
        <v>828</v>
      </c>
      <c r="E397" s="38" t="s">
        <v>2606</v>
      </c>
      <c r="F397" s="38" t="s">
        <v>2154</v>
      </c>
      <c r="G397" s="38" t="s">
        <v>2607</v>
      </c>
      <c r="H397" s="38" t="s">
        <v>2185</v>
      </c>
      <c r="I397" s="38" t="s">
        <v>2124</v>
      </c>
      <c r="J397" s="38"/>
      <c r="K397" s="38" t="s">
        <v>2187</v>
      </c>
      <c r="L397" s="38" t="s">
        <v>2136</v>
      </c>
      <c r="M397" s="38">
        <v>3</v>
      </c>
      <c r="N397" s="38"/>
      <c r="O397" s="10"/>
      <c r="P397" s="25" t="str">
        <f>HYPERLINK("http://biade.itrust.de/biade/lpext.dll?f=id&amp;id=biadb%3Ar%3A004510&amp;t=main-h.htm","4510")</f>
        <v>4510</v>
      </c>
    </row>
    <row r="398" spans="1:16" ht="22.5">
      <c r="A398" s="49" t="s">
        <v>2608</v>
      </c>
      <c r="B398" s="49"/>
      <c r="C398" s="8" t="s">
        <v>2609</v>
      </c>
      <c r="D398" s="49" t="s">
        <v>828</v>
      </c>
      <c r="E398" s="47" t="s">
        <v>2579</v>
      </c>
      <c r="F398" s="47" t="s">
        <v>2154</v>
      </c>
      <c r="G398" s="47" t="s">
        <v>2611</v>
      </c>
      <c r="H398" s="47" t="s">
        <v>689</v>
      </c>
      <c r="I398" s="47" t="s">
        <v>2124</v>
      </c>
      <c r="J398" s="47"/>
      <c r="K398" s="47" t="s">
        <v>2157</v>
      </c>
      <c r="L398" s="47" t="s">
        <v>2136</v>
      </c>
      <c r="M398" s="47">
        <v>3</v>
      </c>
      <c r="N398" s="47"/>
      <c r="O398" s="49"/>
      <c r="P398" s="36" t="str">
        <f>HYPERLINK("http://biade.itrust.de/biade/lpext.dll?f=id&amp;id=biadb%3Ar%3A003340&amp;t=main-h.htm","3340")</f>
        <v>3340</v>
      </c>
    </row>
    <row r="399" spans="1:16" ht="34.5" thickBot="1">
      <c r="A399" s="50"/>
      <c r="B399" s="50"/>
      <c r="C399" s="11" t="s">
        <v>2610</v>
      </c>
      <c r="D399" s="50"/>
      <c r="E399" s="48"/>
      <c r="F399" s="48"/>
      <c r="G399" s="48"/>
      <c r="H399" s="48"/>
      <c r="I399" s="48"/>
      <c r="J399" s="48"/>
      <c r="K399" s="48"/>
      <c r="L399" s="48"/>
      <c r="M399" s="48"/>
      <c r="N399" s="48"/>
      <c r="O399" s="50"/>
      <c r="P399" s="25" t="str">
        <f>HYPERLINK("http://biade.itrust.de/biade/lpext.dll?f=id&amp;id=biadb%3Ar%3A003340&amp;t=main-h.htm","3340")</f>
        <v>3340</v>
      </c>
    </row>
    <row r="400" spans="1:16" ht="32.25" thickBot="1">
      <c r="A400" s="6" t="s">
        <v>2612</v>
      </c>
      <c r="B400" s="10"/>
      <c r="C400" s="11" t="s">
        <v>2613</v>
      </c>
      <c r="D400" s="10" t="s">
        <v>2152</v>
      </c>
      <c r="E400" s="38" t="s">
        <v>2614</v>
      </c>
      <c r="F400" s="38" t="s">
        <v>2615</v>
      </c>
      <c r="G400" s="38" t="s">
        <v>2616</v>
      </c>
      <c r="H400" s="38" t="s">
        <v>2185</v>
      </c>
      <c r="I400" s="38" t="s">
        <v>2124</v>
      </c>
      <c r="J400" s="38"/>
      <c r="K400" s="38" t="s">
        <v>2187</v>
      </c>
      <c r="L400" s="38" t="s">
        <v>2136</v>
      </c>
      <c r="M400" s="38">
        <v>3</v>
      </c>
      <c r="N400" s="38" t="s">
        <v>2617</v>
      </c>
      <c r="O400" s="10"/>
      <c r="P400" s="25" t="str">
        <f>HYPERLINK("http://biade.itrust.de/biade/lpext.dll?f=id&amp;id=biadb%3Ar%3A002150&amp;t=main-h.htm","2150")</f>
        <v>2150</v>
      </c>
    </row>
    <row r="401" spans="1:16" ht="15.75" thickBot="1">
      <c r="A401" s="6" t="s">
        <v>2618</v>
      </c>
      <c r="B401" s="10"/>
      <c r="C401" s="11" t="s">
        <v>2619</v>
      </c>
      <c r="D401" s="10"/>
      <c r="E401" s="38"/>
      <c r="F401" s="38"/>
      <c r="G401" s="38"/>
      <c r="H401" s="38" t="s">
        <v>2123</v>
      </c>
      <c r="I401" s="38" t="s">
        <v>2124</v>
      </c>
      <c r="J401" s="38"/>
      <c r="K401" s="38"/>
      <c r="L401" s="38" t="s">
        <v>2136</v>
      </c>
      <c r="M401" s="38">
        <v>1</v>
      </c>
      <c r="N401" s="38"/>
      <c r="O401" s="10"/>
      <c r="P401" s="11"/>
    </row>
    <row r="402" spans="1:16" ht="15.75" thickBot="1">
      <c r="A402" s="21" t="s">
        <v>2620</v>
      </c>
      <c r="B402" s="22"/>
      <c r="C402" s="23" t="s">
        <v>2621</v>
      </c>
      <c r="D402" s="22" t="s">
        <v>3859</v>
      </c>
      <c r="E402" s="43">
        <v>15</v>
      </c>
      <c r="F402" s="43" t="s">
        <v>2622</v>
      </c>
      <c r="G402" s="43"/>
      <c r="H402" s="43" t="s">
        <v>2164</v>
      </c>
      <c r="I402" s="43" t="s">
        <v>2623</v>
      </c>
      <c r="J402" s="43"/>
      <c r="K402" s="43"/>
      <c r="L402" s="43" t="s">
        <v>2136</v>
      </c>
      <c r="M402" s="43">
        <v>1</v>
      </c>
      <c r="N402" s="43"/>
      <c r="O402" s="22"/>
      <c r="P402" s="35" t="str">
        <f>HYPERLINK("http://biade.itrust.de/biade/lpext.dll?f=id&amp;id=biadb%3Ar%3A008160&amp;t=main-h.htm","8160")</f>
        <v>8160</v>
      </c>
    </row>
    <row r="403" spans="1:16" ht="15.75" thickBot="1">
      <c r="A403" s="6" t="s">
        <v>2624</v>
      </c>
      <c r="B403" s="10" t="s">
        <v>2177</v>
      </c>
      <c r="C403" s="11" t="s">
        <v>2625</v>
      </c>
      <c r="D403" s="10" t="s">
        <v>2134</v>
      </c>
      <c r="E403" s="38" t="s">
        <v>2162</v>
      </c>
      <c r="F403" s="38" t="s">
        <v>2163</v>
      </c>
      <c r="G403" s="38"/>
      <c r="H403" s="38" t="s">
        <v>2626</v>
      </c>
      <c r="I403" s="38" t="s">
        <v>2124</v>
      </c>
      <c r="J403" s="38"/>
      <c r="K403" s="38"/>
      <c r="L403" s="38" t="s">
        <v>2125</v>
      </c>
      <c r="M403" s="38">
        <v>1</v>
      </c>
      <c r="N403" s="38"/>
      <c r="O403" s="10"/>
      <c r="P403" s="25" t="str">
        <f>HYPERLINK("http://biade.itrust.de/biade/lpext.dll?f=id&amp;id=biadb%3Ar%3A570089&amp;t=main-h.htm","570089")</f>
        <v>570089</v>
      </c>
    </row>
    <row r="404" spans="1:16" ht="15.75" thickBot="1">
      <c r="A404" s="6" t="s">
        <v>2627</v>
      </c>
      <c r="B404" s="10" t="s">
        <v>2121</v>
      </c>
      <c r="C404" s="11" t="s">
        <v>2628</v>
      </c>
      <c r="D404" s="10" t="s">
        <v>2134</v>
      </c>
      <c r="E404" s="38">
        <v>36</v>
      </c>
      <c r="F404" s="38">
        <v>26</v>
      </c>
      <c r="G404" s="38"/>
      <c r="H404" s="38" t="s">
        <v>2129</v>
      </c>
      <c r="I404" s="38" t="s">
        <v>2124</v>
      </c>
      <c r="J404" s="38"/>
      <c r="K404" s="38"/>
      <c r="L404" s="38" t="s">
        <v>2136</v>
      </c>
      <c r="M404" s="38">
        <v>1</v>
      </c>
      <c r="N404" s="38"/>
      <c r="O404" s="10"/>
      <c r="P404" s="11"/>
    </row>
    <row r="405" spans="1:16" ht="15.75" thickBot="1">
      <c r="A405" s="6" t="s">
        <v>2629</v>
      </c>
      <c r="B405" s="10" t="s">
        <v>2630</v>
      </c>
      <c r="C405" s="11" t="s">
        <v>2631</v>
      </c>
      <c r="D405" s="10" t="s">
        <v>3859</v>
      </c>
      <c r="E405" s="38">
        <v>15</v>
      </c>
      <c r="F405" s="38" t="s">
        <v>2632</v>
      </c>
      <c r="G405" s="38"/>
      <c r="H405" s="38" t="s">
        <v>2164</v>
      </c>
      <c r="I405" s="38" t="s">
        <v>2124</v>
      </c>
      <c r="J405" s="38"/>
      <c r="K405" s="38"/>
      <c r="L405" s="38" t="s">
        <v>2213</v>
      </c>
      <c r="M405" s="38">
        <v>1</v>
      </c>
      <c r="N405" s="38"/>
      <c r="O405" s="10"/>
      <c r="P405" s="25" t="str">
        <f>HYPERLINK("http://biade.itrust.de/biade/lpext.dll?f=id&amp;id=biadb%3Ar%3A001980&amp;t=main-h.htm","1980")</f>
        <v>1980</v>
      </c>
    </row>
    <row r="406" spans="1:16" ht="15.75" thickBot="1">
      <c r="A406" s="6" t="s">
        <v>2633</v>
      </c>
      <c r="B406" s="10" t="s">
        <v>2121</v>
      </c>
      <c r="C406" s="11" t="s">
        <v>2634</v>
      </c>
      <c r="D406" s="10"/>
      <c r="E406" s="38"/>
      <c r="F406" s="38"/>
      <c r="G406" s="38"/>
      <c r="H406" s="38" t="s">
        <v>2123</v>
      </c>
      <c r="I406" s="38" t="s">
        <v>2124</v>
      </c>
      <c r="J406" s="38"/>
      <c r="K406" s="38"/>
      <c r="L406" s="38" t="s">
        <v>2125</v>
      </c>
      <c r="M406" s="38" t="s">
        <v>2221</v>
      </c>
      <c r="N406" s="38"/>
      <c r="O406" s="10"/>
      <c r="P406" s="25" t="str">
        <f>HYPERLINK("http://biade.itrust.de/biade/lpext.dll?f=id&amp;id=biadb%3Ar%3A001650&amp;t=main-h.htm","1650")</f>
        <v>1650</v>
      </c>
    </row>
    <row r="407" spans="1:16" ht="15.75" thickBot="1">
      <c r="A407" s="6" t="s">
        <v>2633</v>
      </c>
      <c r="B407" s="10" t="s">
        <v>2635</v>
      </c>
      <c r="C407" s="11" t="s">
        <v>2634</v>
      </c>
      <c r="D407" s="10"/>
      <c r="E407" s="38"/>
      <c r="F407" s="38"/>
      <c r="G407" s="38"/>
      <c r="H407" s="38" t="s">
        <v>2123</v>
      </c>
      <c r="I407" s="38" t="s">
        <v>2124</v>
      </c>
      <c r="J407" s="38"/>
      <c r="K407" s="38"/>
      <c r="L407" s="38" t="s">
        <v>2125</v>
      </c>
      <c r="M407" s="38" t="s">
        <v>2221</v>
      </c>
      <c r="N407" s="38"/>
      <c r="O407" s="10"/>
      <c r="P407" s="25" t="str">
        <f>HYPERLINK("http://biade.itrust.de/biade/lpext.dll?f=id&amp;id=biadb%3Ar%3A001650&amp;t=main-h.htm","1650")</f>
        <v>1650</v>
      </c>
    </row>
    <row r="408" spans="1:16" ht="15.75" thickBot="1">
      <c r="A408" s="6" t="s">
        <v>2636</v>
      </c>
      <c r="B408" s="10" t="s">
        <v>2121</v>
      </c>
      <c r="C408" s="11"/>
      <c r="D408" s="10"/>
      <c r="E408" s="38"/>
      <c r="F408" s="38" t="s">
        <v>4026</v>
      </c>
      <c r="G408" s="38"/>
      <c r="H408" s="38" t="s">
        <v>2123</v>
      </c>
      <c r="I408" s="38" t="s">
        <v>2124</v>
      </c>
      <c r="J408" s="38"/>
      <c r="K408" s="38"/>
      <c r="L408" s="38" t="s">
        <v>2125</v>
      </c>
      <c r="M408" s="38">
        <v>1</v>
      </c>
      <c r="N408" s="38"/>
      <c r="O408" s="10"/>
      <c r="P408" s="11"/>
    </row>
    <row r="409" spans="1:16" ht="15">
      <c r="A409" s="49" t="s">
        <v>2637</v>
      </c>
      <c r="B409" s="49"/>
      <c r="C409" s="8" t="s">
        <v>3971</v>
      </c>
      <c r="D409" s="49" t="s">
        <v>2134</v>
      </c>
      <c r="E409" s="47">
        <v>36</v>
      </c>
      <c r="F409" s="47" t="s">
        <v>2641</v>
      </c>
      <c r="G409" s="47"/>
      <c r="H409" s="47" t="s">
        <v>2164</v>
      </c>
      <c r="I409" s="47" t="s">
        <v>2124</v>
      </c>
      <c r="J409" s="47"/>
      <c r="K409" s="47"/>
      <c r="L409" s="47" t="s">
        <v>2136</v>
      </c>
      <c r="M409" s="47">
        <v>1</v>
      </c>
      <c r="N409" s="47" t="s">
        <v>1252</v>
      </c>
      <c r="O409" s="49"/>
      <c r="P409" s="8"/>
    </row>
    <row r="410" spans="1:16" ht="15">
      <c r="A410" s="56"/>
      <c r="B410" s="56"/>
      <c r="C410" s="8" t="s">
        <v>2638</v>
      </c>
      <c r="D410" s="56"/>
      <c r="E410" s="55"/>
      <c r="F410" s="55"/>
      <c r="G410" s="55"/>
      <c r="H410" s="55"/>
      <c r="I410" s="55"/>
      <c r="J410" s="55"/>
      <c r="K410" s="55"/>
      <c r="L410" s="55"/>
      <c r="M410" s="55"/>
      <c r="N410" s="55"/>
      <c r="O410" s="56"/>
      <c r="P410" s="36" t="str">
        <f>HYPERLINK("http://biade.itrust.de/biade/lpext.dll?f=id&amp;id=biadb%3Ar%3A001910&amp;t=main-h.htm","1910")</f>
        <v>1910</v>
      </c>
    </row>
    <row r="411" spans="1:16" ht="15">
      <c r="A411" s="56"/>
      <c r="B411" s="56"/>
      <c r="C411" s="8"/>
      <c r="D411" s="56"/>
      <c r="E411" s="55"/>
      <c r="F411" s="55"/>
      <c r="G411" s="55"/>
      <c r="H411" s="55"/>
      <c r="I411" s="55"/>
      <c r="J411" s="55"/>
      <c r="K411" s="55"/>
      <c r="L411" s="55"/>
      <c r="M411" s="55"/>
      <c r="N411" s="55"/>
      <c r="O411" s="56"/>
      <c r="P411" s="8"/>
    </row>
    <row r="412" spans="1:16" ht="15">
      <c r="A412" s="56"/>
      <c r="B412" s="56"/>
      <c r="C412" s="8" t="s">
        <v>1623</v>
      </c>
      <c r="D412" s="56"/>
      <c r="E412" s="55"/>
      <c r="F412" s="55"/>
      <c r="G412" s="55"/>
      <c r="H412" s="55"/>
      <c r="I412" s="55"/>
      <c r="J412" s="55"/>
      <c r="K412" s="55"/>
      <c r="L412" s="55"/>
      <c r="M412" s="55"/>
      <c r="N412" s="55"/>
      <c r="O412" s="56"/>
      <c r="P412" s="8"/>
    </row>
    <row r="413" spans="1:16" ht="15">
      <c r="A413" s="56"/>
      <c r="B413" s="56"/>
      <c r="C413" s="8" t="s">
        <v>2639</v>
      </c>
      <c r="D413" s="56"/>
      <c r="E413" s="55"/>
      <c r="F413" s="55"/>
      <c r="G413" s="55"/>
      <c r="H413" s="55"/>
      <c r="I413" s="55"/>
      <c r="J413" s="55"/>
      <c r="K413" s="55"/>
      <c r="L413" s="55"/>
      <c r="M413" s="55"/>
      <c r="N413" s="55"/>
      <c r="O413" s="56"/>
      <c r="P413" s="36" t="str">
        <f>HYPERLINK("http://biade.itrust.de/biade/lpext.dll?f=id&amp;id=biadb%3Ar%3A001910&amp;t=main-h.htm","1910")</f>
        <v>1910</v>
      </c>
    </row>
    <row r="414" spans="1:16" ht="15">
      <c r="A414" s="56"/>
      <c r="B414" s="56"/>
      <c r="C414" s="8"/>
      <c r="D414" s="56"/>
      <c r="E414" s="55"/>
      <c r="F414" s="55"/>
      <c r="G414" s="55"/>
      <c r="H414" s="55"/>
      <c r="I414" s="55"/>
      <c r="J414" s="55"/>
      <c r="K414" s="55"/>
      <c r="L414" s="55"/>
      <c r="M414" s="55"/>
      <c r="N414" s="55"/>
      <c r="O414" s="56"/>
      <c r="P414" s="8"/>
    </row>
    <row r="415" spans="1:16" ht="15">
      <c r="A415" s="56"/>
      <c r="B415" s="56"/>
      <c r="C415" s="8" t="s">
        <v>2176</v>
      </c>
      <c r="D415" s="56"/>
      <c r="E415" s="55"/>
      <c r="F415" s="55"/>
      <c r="G415" s="55"/>
      <c r="H415" s="55"/>
      <c r="I415" s="55"/>
      <c r="J415" s="55"/>
      <c r="K415" s="55"/>
      <c r="L415" s="55"/>
      <c r="M415" s="55"/>
      <c r="N415" s="55"/>
      <c r="O415" s="56"/>
      <c r="P415" s="8"/>
    </row>
    <row r="416" spans="1:16" ht="15.75" thickBot="1">
      <c r="A416" s="50"/>
      <c r="B416" s="50"/>
      <c r="C416" s="11" t="s">
        <v>2640</v>
      </c>
      <c r="D416" s="50"/>
      <c r="E416" s="48"/>
      <c r="F416" s="48"/>
      <c r="G416" s="48"/>
      <c r="H416" s="48"/>
      <c r="I416" s="48"/>
      <c r="J416" s="48"/>
      <c r="K416" s="48"/>
      <c r="L416" s="48"/>
      <c r="M416" s="48"/>
      <c r="N416" s="48"/>
      <c r="O416" s="50"/>
      <c r="P416" s="11"/>
    </row>
    <row r="417" spans="1:16" ht="15.75" thickBot="1">
      <c r="A417" s="6" t="s">
        <v>2642</v>
      </c>
      <c r="B417" s="10" t="s">
        <v>2643</v>
      </c>
      <c r="C417" s="11" t="s">
        <v>2644</v>
      </c>
      <c r="D417" s="10" t="s">
        <v>2152</v>
      </c>
      <c r="E417" s="38" t="s">
        <v>4214</v>
      </c>
      <c r="F417" s="38" t="s">
        <v>2154</v>
      </c>
      <c r="G417" s="38" t="s">
        <v>2155</v>
      </c>
      <c r="H417" s="38" t="s">
        <v>2185</v>
      </c>
      <c r="I417" s="38" t="s">
        <v>2124</v>
      </c>
      <c r="J417" s="38"/>
      <c r="K417" s="38" t="s">
        <v>2187</v>
      </c>
      <c r="L417" s="38" t="s">
        <v>2158</v>
      </c>
      <c r="M417" s="38">
        <v>3</v>
      </c>
      <c r="N417" s="38"/>
      <c r="O417" s="10"/>
      <c r="P417" s="25" t="str">
        <f>HYPERLINK("http://biade.itrust.de/biade/lpext.dll?f=id&amp;id=biadb%3Ar%3A005350&amp;t=main-h.htm","5350")</f>
        <v>5350</v>
      </c>
    </row>
    <row r="418" spans="1:16" ht="23.25" thickBot="1">
      <c r="A418" s="6" t="s">
        <v>2645</v>
      </c>
      <c r="B418" s="10" t="s">
        <v>2132</v>
      </c>
      <c r="C418" s="11" t="s">
        <v>2646</v>
      </c>
      <c r="D418" s="10" t="s">
        <v>2134</v>
      </c>
      <c r="E418" s="38" t="s">
        <v>2162</v>
      </c>
      <c r="F418" s="38">
        <v>26</v>
      </c>
      <c r="G418" s="38"/>
      <c r="H418" s="38" t="s">
        <v>2164</v>
      </c>
      <c r="I418" s="38" t="s">
        <v>2124</v>
      </c>
      <c r="J418" s="38"/>
      <c r="K418" s="38"/>
      <c r="L418" s="38" t="s">
        <v>2125</v>
      </c>
      <c r="M418" s="38">
        <v>1</v>
      </c>
      <c r="N418" s="38"/>
      <c r="O418" s="10"/>
      <c r="P418" s="25" t="str">
        <f>HYPERLINK("http://biade.itrust.de/biade/lpext.dll?f=id&amp;id=biadb%3Ar%3A004840&amp;t=main-h.htm","4840")</f>
        <v>4840</v>
      </c>
    </row>
    <row r="419" spans="1:16" ht="15">
      <c r="A419" s="49" t="s">
        <v>2647</v>
      </c>
      <c r="B419" s="49" t="s">
        <v>2121</v>
      </c>
      <c r="C419" s="51" t="s">
        <v>2648</v>
      </c>
      <c r="D419" s="49"/>
      <c r="E419" s="47"/>
      <c r="F419" s="47"/>
      <c r="G419" s="47"/>
      <c r="H419" s="47" t="s">
        <v>2123</v>
      </c>
      <c r="I419" s="39">
        <v>1</v>
      </c>
      <c r="J419" s="47">
        <v>4</v>
      </c>
      <c r="K419" s="47"/>
      <c r="L419" s="47" t="s">
        <v>2125</v>
      </c>
      <c r="M419" s="47">
        <v>1</v>
      </c>
      <c r="N419" s="47"/>
      <c r="O419" s="49"/>
      <c r="P419" s="51"/>
    </row>
    <row r="420" spans="1:16" ht="15.75" thickBot="1">
      <c r="A420" s="50"/>
      <c r="B420" s="50"/>
      <c r="C420" s="52"/>
      <c r="D420" s="50"/>
      <c r="E420" s="48"/>
      <c r="F420" s="48"/>
      <c r="G420" s="48"/>
      <c r="H420" s="48"/>
      <c r="I420" s="38" t="s">
        <v>2124</v>
      </c>
      <c r="J420" s="48"/>
      <c r="K420" s="48"/>
      <c r="L420" s="48"/>
      <c r="M420" s="48"/>
      <c r="N420" s="48"/>
      <c r="O420" s="50"/>
      <c r="P420" s="52"/>
    </row>
    <row r="421" spans="1:16" ht="15">
      <c r="A421" s="5" t="s">
        <v>2649</v>
      </c>
      <c r="B421" s="49" t="s">
        <v>2121</v>
      </c>
      <c r="C421" s="51"/>
      <c r="D421" s="49"/>
      <c r="E421" s="47"/>
      <c r="F421" s="47"/>
      <c r="G421" s="47"/>
      <c r="H421" s="47" t="s">
        <v>2123</v>
      </c>
      <c r="I421" s="47" t="s">
        <v>2124</v>
      </c>
      <c r="J421" s="47"/>
      <c r="K421" s="47"/>
      <c r="L421" s="47" t="s">
        <v>2125</v>
      </c>
      <c r="M421" s="47">
        <v>1</v>
      </c>
      <c r="N421" s="47"/>
      <c r="O421" s="49"/>
      <c r="P421" s="51"/>
    </row>
    <row r="422" spans="1:16" ht="15">
      <c r="A422" s="5" t="s">
        <v>1617</v>
      </c>
      <c r="B422" s="56"/>
      <c r="C422" s="57"/>
      <c r="D422" s="56"/>
      <c r="E422" s="55"/>
      <c r="F422" s="55"/>
      <c r="G422" s="55"/>
      <c r="H422" s="55"/>
      <c r="I422" s="55"/>
      <c r="J422" s="55"/>
      <c r="K422" s="55"/>
      <c r="L422" s="55"/>
      <c r="M422" s="55"/>
      <c r="N422" s="55"/>
      <c r="O422" s="56"/>
      <c r="P422" s="57"/>
    </row>
    <row r="423" spans="1:16" ht="15.75" thickBot="1">
      <c r="A423" s="6" t="s">
        <v>2650</v>
      </c>
      <c r="B423" s="50"/>
      <c r="C423" s="52"/>
      <c r="D423" s="50"/>
      <c r="E423" s="48"/>
      <c r="F423" s="48"/>
      <c r="G423" s="48"/>
      <c r="H423" s="48"/>
      <c r="I423" s="48"/>
      <c r="J423" s="48"/>
      <c r="K423" s="48"/>
      <c r="L423" s="48"/>
      <c r="M423" s="48"/>
      <c r="N423" s="48"/>
      <c r="O423" s="50"/>
      <c r="P423" s="52"/>
    </row>
    <row r="424" spans="1:16" ht="15.75" thickBot="1">
      <c r="A424" s="6" t="s">
        <v>2651</v>
      </c>
      <c r="B424" s="10" t="s">
        <v>2121</v>
      </c>
      <c r="C424" s="11" t="s">
        <v>2652</v>
      </c>
      <c r="D424" s="10" t="s">
        <v>3859</v>
      </c>
      <c r="E424" s="38">
        <v>15</v>
      </c>
      <c r="F424" s="38" t="s">
        <v>2653</v>
      </c>
      <c r="G424" s="38"/>
      <c r="H424" s="38" t="s">
        <v>2164</v>
      </c>
      <c r="I424" s="38" t="s">
        <v>2124</v>
      </c>
      <c r="J424" s="38"/>
      <c r="K424" s="38"/>
      <c r="L424" s="38" t="s">
        <v>2213</v>
      </c>
      <c r="M424" s="38">
        <v>1</v>
      </c>
      <c r="N424" s="38"/>
      <c r="O424" s="10"/>
      <c r="P424" s="25" t="str">
        <f>HYPERLINK("http://biade.itrust.de/biade/lpext.dll?f=id&amp;id=biadb%3Ar%3A500027&amp;t=main-h.htm","500027")</f>
        <v>500027</v>
      </c>
    </row>
    <row r="425" spans="1:16" ht="15">
      <c r="A425" s="5" t="s">
        <v>2654</v>
      </c>
      <c r="B425" s="49" t="s">
        <v>2121</v>
      </c>
      <c r="C425" s="51" t="s">
        <v>2656</v>
      </c>
      <c r="D425" s="49"/>
      <c r="E425" s="47"/>
      <c r="F425" s="47"/>
      <c r="G425" s="47"/>
      <c r="H425" s="47" t="s">
        <v>2123</v>
      </c>
      <c r="I425" s="47" t="s">
        <v>2124</v>
      </c>
      <c r="J425" s="47"/>
      <c r="K425" s="47"/>
      <c r="L425" s="47" t="s">
        <v>2125</v>
      </c>
      <c r="M425" s="47">
        <v>1</v>
      </c>
      <c r="N425" s="47"/>
      <c r="O425" s="49"/>
      <c r="P425" s="51"/>
    </row>
    <row r="426" spans="1:16" ht="15.75" thickBot="1">
      <c r="A426" s="6" t="s">
        <v>2655</v>
      </c>
      <c r="B426" s="50"/>
      <c r="C426" s="52"/>
      <c r="D426" s="50"/>
      <c r="E426" s="48"/>
      <c r="F426" s="48"/>
      <c r="G426" s="48"/>
      <c r="H426" s="48"/>
      <c r="I426" s="48"/>
      <c r="J426" s="48"/>
      <c r="K426" s="48"/>
      <c r="L426" s="48"/>
      <c r="M426" s="48"/>
      <c r="N426" s="48"/>
      <c r="O426" s="50"/>
      <c r="P426" s="52"/>
    </row>
    <row r="427" spans="1:16" ht="15.75" thickBot="1">
      <c r="A427" s="6" t="s">
        <v>2657</v>
      </c>
      <c r="B427" s="10" t="s">
        <v>2658</v>
      </c>
      <c r="C427" s="11" t="s">
        <v>2659</v>
      </c>
      <c r="D427" s="10" t="s">
        <v>2134</v>
      </c>
      <c r="E427" s="38">
        <v>41</v>
      </c>
      <c r="F427" s="38" t="s">
        <v>2660</v>
      </c>
      <c r="G427" s="38"/>
      <c r="H427" s="38" t="s">
        <v>2164</v>
      </c>
      <c r="I427" s="38" t="s">
        <v>2124</v>
      </c>
      <c r="J427" s="38"/>
      <c r="K427" s="38"/>
      <c r="L427" s="38" t="s">
        <v>2136</v>
      </c>
      <c r="M427" s="38">
        <v>1</v>
      </c>
      <c r="N427" s="38" t="s">
        <v>2661</v>
      </c>
      <c r="O427" s="10"/>
      <c r="P427" s="25" t="str">
        <f>HYPERLINK("http://biade.itrust.de/biade/lpext.dll?f=id&amp;id=biadb%3Ar%3A001150&amp;t=main-h.htm","1150")</f>
        <v>1150</v>
      </c>
    </row>
    <row r="428" spans="1:16" ht="15.75" thickBot="1">
      <c r="A428" s="6" t="s">
        <v>2662</v>
      </c>
      <c r="B428" s="10" t="s">
        <v>2663</v>
      </c>
      <c r="C428" s="11" t="s">
        <v>2664</v>
      </c>
      <c r="D428" s="10" t="s">
        <v>2665</v>
      </c>
      <c r="E428" s="38" t="s">
        <v>2666</v>
      </c>
      <c r="F428" s="38" t="s">
        <v>1244</v>
      </c>
      <c r="G428" s="38"/>
      <c r="H428" s="38" t="s">
        <v>2164</v>
      </c>
      <c r="I428" s="38" t="s">
        <v>2124</v>
      </c>
      <c r="J428" s="38"/>
      <c r="K428" s="38"/>
      <c r="L428" s="38" t="s">
        <v>2136</v>
      </c>
      <c r="M428" s="38">
        <v>2</v>
      </c>
      <c r="N428" s="38" t="s">
        <v>2667</v>
      </c>
      <c r="O428" s="10"/>
      <c r="P428" s="25" t="str">
        <f>HYPERLINK("http://biade.itrust.de/biade/lpext.dll?f=id&amp;id=biadb%3Ar%3A005630&amp;t=main-h.htm","5630")</f>
        <v>5630</v>
      </c>
    </row>
    <row r="429" spans="1:16" ht="15.75" thickBot="1">
      <c r="A429" s="6" t="s">
        <v>2668</v>
      </c>
      <c r="B429" s="10" t="s">
        <v>2121</v>
      </c>
      <c r="C429" s="11" t="s">
        <v>2669</v>
      </c>
      <c r="D429" s="10" t="s">
        <v>3887</v>
      </c>
      <c r="E429" s="38" t="s">
        <v>2670</v>
      </c>
      <c r="F429" s="38"/>
      <c r="G429" s="38"/>
      <c r="H429" s="38" t="s">
        <v>3979</v>
      </c>
      <c r="I429" s="38" t="s">
        <v>2124</v>
      </c>
      <c r="J429" s="38"/>
      <c r="K429" s="38"/>
      <c r="L429" s="38" t="s">
        <v>2136</v>
      </c>
      <c r="M429" s="38">
        <v>1</v>
      </c>
      <c r="N429" s="38" t="s">
        <v>1252</v>
      </c>
      <c r="O429" s="10"/>
      <c r="P429" s="25" t="str">
        <f>HYPERLINK("http://biade.itrust.de/biade/lpext.dll?f=id&amp;id=biadb%3Ar%3A003880&amp;t=main-h.htm","3880")</f>
        <v>3880</v>
      </c>
    </row>
    <row r="430" spans="1:16" ht="23.25" thickBot="1">
      <c r="A430" s="6" t="s">
        <v>2671</v>
      </c>
      <c r="B430" s="10" t="s">
        <v>4008</v>
      </c>
      <c r="C430" s="11" t="s">
        <v>2672</v>
      </c>
      <c r="D430" s="10" t="s">
        <v>2227</v>
      </c>
      <c r="E430" s="38">
        <v>34</v>
      </c>
      <c r="F430" s="38" t="s">
        <v>3884</v>
      </c>
      <c r="G430" s="38"/>
      <c r="H430" s="38" t="s">
        <v>2164</v>
      </c>
      <c r="I430" s="38" t="s">
        <v>2124</v>
      </c>
      <c r="J430" s="38"/>
      <c r="K430" s="38"/>
      <c r="L430" s="38" t="s">
        <v>2136</v>
      </c>
      <c r="M430" s="38">
        <v>1</v>
      </c>
      <c r="N430" s="38" t="s">
        <v>4106</v>
      </c>
      <c r="O430" s="10"/>
      <c r="P430" s="25" t="str">
        <f>HYPERLINK("http://biade.itrust.de/biade/lpext.dll?f=id&amp;id=biadb%3Ar%3A001200&amp;t=main-h.htm","1200")</f>
        <v>1200</v>
      </c>
    </row>
    <row r="431" spans="1:16" ht="15.75" thickBot="1">
      <c r="A431" s="6" t="s">
        <v>2673</v>
      </c>
      <c r="B431" s="10" t="s">
        <v>2121</v>
      </c>
      <c r="C431" s="11" t="s">
        <v>2674</v>
      </c>
      <c r="D431" s="10"/>
      <c r="E431" s="38"/>
      <c r="F431" s="38"/>
      <c r="G431" s="38"/>
      <c r="H431" s="38" t="s">
        <v>2123</v>
      </c>
      <c r="I431" s="38" t="s">
        <v>2124</v>
      </c>
      <c r="J431" s="38"/>
      <c r="K431" s="38"/>
      <c r="L431" s="38" t="s">
        <v>2125</v>
      </c>
      <c r="M431" s="38"/>
      <c r="N431" s="38"/>
      <c r="O431" s="10"/>
      <c r="P431" s="25" t="str">
        <f>HYPERLINK("http://biade.itrust.de/biade/lpext.dll?f=id&amp;id=biadb%3Ar%3A004880&amp;t=main-h.htm","4880")</f>
        <v>4880</v>
      </c>
    </row>
    <row r="432" spans="1:16" ht="15.75" thickBot="1">
      <c r="A432" s="6" t="s">
        <v>2675</v>
      </c>
      <c r="B432" s="10"/>
      <c r="C432" s="11" t="s">
        <v>2676</v>
      </c>
      <c r="D432" s="10" t="s">
        <v>1236</v>
      </c>
      <c r="E432" s="38" t="s">
        <v>2677</v>
      </c>
      <c r="F432" s="38" t="s">
        <v>2678</v>
      </c>
      <c r="G432" s="38"/>
      <c r="H432" s="38" t="s">
        <v>3220</v>
      </c>
      <c r="I432" s="38" t="s">
        <v>2124</v>
      </c>
      <c r="J432" s="38"/>
      <c r="K432" s="38"/>
      <c r="L432" s="38" t="s">
        <v>2213</v>
      </c>
      <c r="M432" s="38">
        <v>2</v>
      </c>
      <c r="N432" s="38"/>
      <c r="O432" s="10"/>
      <c r="P432" s="25" t="str">
        <f>HYPERLINK("http://biade.itrust.de/biade/lpext.dll?f=id&amp;id=biadb%3Ar%3A500028&amp;t=main-h.htm","500028")</f>
        <v>500028</v>
      </c>
    </row>
    <row r="433" spans="1:16" ht="22.5">
      <c r="A433" s="49" t="s">
        <v>2679</v>
      </c>
      <c r="B433" s="49"/>
      <c r="C433" s="8" t="s">
        <v>2680</v>
      </c>
      <c r="D433" s="49"/>
      <c r="E433" s="47"/>
      <c r="F433" s="47"/>
      <c r="G433" s="47"/>
      <c r="H433" s="47" t="s">
        <v>2123</v>
      </c>
      <c r="I433" s="39" t="s">
        <v>3862</v>
      </c>
      <c r="J433" s="47"/>
      <c r="K433" s="47"/>
      <c r="L433" s="47" t="s">
        <v>2125</v>
      </c>
      <c r="M433" s="47">
        <v>1</v>
      </c>
      <c r="N433" s="47"/>
      <c r="O433" s="49"/>
      <c r="P433" s="36" t="str">
        <f>HYPERLINK("http://biade.itrust.de/biade/lpext.dll?f=id&amp;id=biadb%3Ar%3A001170&amp;t=main-h.htm","1170")</f>
        <v>1170</v>
      </c>
    </row>
    <row r="434" spans="1:16" ht="33.75">
      <c r="A434" s="56"/>
      <c r="B434" s="56"/>
      <c r="C434" s="8" t="s">
        <v>2681</v>
      </c>
      <c r="D434" s="56"/>
      <c r="E434" s="55"/>
      <c r="F434" s="55"/>
      <c r="G434" s="55"/>
      <c r="H434" s="55"/>
      <c r="I434" s="39" t="s">
        <v>2124</v>
      </c>
      <c r="J434" s="55"/>
      <c r="K434" s="55"/>
      <c r="L434" s="55"/>
      <c r="M434" s="55"/>
      <c r="N434" s="55"/>
      <c r="O434" s="56"/>
      <c r="P434" s="36" t="str">
        <f>HYPERLINK("http://biade.itrust.de/biade/lpext.dll?f=id&amp;id=biadb%3Ar%3A001170&amp;t=main-h.htm","1170")</f>
        <v>1170</v>
      </c>
    </row>
    <row r="435" spans="1:16" ht="33.75">
      <c r="A435" s="56"/>
      <c r="B435" s="56"/>
      <c r="C435" s="8" t="s">
        <v>2682</v>
      </c>
      <c r="D435" s="56"/>
      <c r="E435" s="55"/>
      <c r="F435" s="55"/>
      <c r="G435" s="55"/>
      <c r="H435" s="55"/>
      <c r="I435" s="46"/>
      <c r="J435" s="55"/>
      <c r="K435" s="55"/>
      <c r="L435" s="55"/>
      <c r="M435" s="55"/>
      <c r="N435" s="55"/>
      <c r="O435" s="56"/>
      <c r="P435" s="36" t="str">
        <f>HYPERLINK("http://biade.itrust.de/biade/lpext.dll?f=id&amp;id=biadb%3Ar%3A001170&amp;t=main-h.htm","1170")</f>
        <v>1170</v>
      </c>
    </row>
    <row r="436" spans="1:16" ht="34.5" thickBot="1">
      <c r="A436" s="50"/>
      <c r="B436" s="50"/>
      <c r="C436" s="11" t="s">
        <v>2683</v>
      </c>
      <c r="D436" s="50"/>
      <c r="E436" s="48"/>
      <c r="F436" s="48"/>
      <c r="G436" s="48"/>
      <c r="H436" s="48"/>
      <c r="I436" s="40"/>
      <c r="J436" s="48"/>
      <c r="K436" s="48"/>
      <c r="L436" s="48"/>
      <c r="M436" s="48"/>
      <c r="N436" s="48"/>
      <c r="O436" s="50"/>
      <c r="P436" s="25" t="str">
        <f>HYPERLINK("http://biade.itrust.de/biade/lpext.dll?f=id&amp;id=biadb%3Ar%3A001170&amp;t=main-h.htm","1170")</f>
        <v>1170</v>
      </c>
    </row>
    <row r="437" spans="1:16" ht="15.75" thickBot="1">
      <c r="A437" s="6" t="s">
        <v>2684</v>
      </c>
      <c r="B437" s="10"/>
      <c r="C437" s="11" t="s">
        <v>2685</v>
      </c>
      <c r="D437" s="10" t="s">
        <v>713</v>
      </c>
      <c r="E437" s="38" t="s">
        <v>2686</v>
      </c>
      <c r="F437" s="38" t="s">
        <v>3963</v>
      </c>
      <c r="G437" s="38"/>
      <c r="H437" s="38" t="s">
        <v>2687</v>
      </c>
      <c r="I437" s="38" t="s">
        <v>2124</v>
      </c>
      <c r="J437" s="38"/>
      <c r="K437" s="38"/>
      <c r="L437" s="38" t="s">
        <v>2136</v>
      </c>
      <c r="M437" s="38">
        <v>2</v>
      </c>
      <c r="N437" s="38" t="s">
        <v>1252</v>
      </c>
      <c r="O437" s="10"/>
      <c r="P437" s="25" t="str">
        <f>HYPERLINK("http://biade.itrust.de/biade/lpext.dll?f=id&amp;id=biadb%3Ar%3A004420&amp;t=main-h.htm","4420")</f>
        <v>4420</v>
      </c>
    </row>
    <row r="438" spans="1:16" ht="15.75" thickBot="1">
      <c r="A438" s="6" t="s">
        <v>2688</v>
      </c>
      <c r="B438" s="10" t="s">
        <v>1248</v>
      </c>
      <c r="C438" s="11" t="s">
        <v>2689</v>
      </c>
      <c r="D438" s="10" t="s">
        <v>2134</v>
      </c>
      <c r="E438" s="38" t="s">
        <v>2162</v>
      </c>
      <c r="F438" s="38" t="s">
        <v>2163</v>
      </c>
      <c r="G438" s="38"/>
      <c r="H438" s="38" t="s">
        <v>2687</v>
      </c>
      <c r="I438" s="38" t="s">
        <v>2124</v>
      </c>
      <c r="J438" s="38"/>
      <c r="K438" s="38"/>
      <c r="L438" s="38" t="s">
        <v>2125</v>
      </c>
      <c r="M438" s="38"/>
      <c r="N438" s="38"/>
      <c r="O438" s="10"/>
      <c r="P438" s="11"/>
    </row>
    <row r="439" spans="1:16" ht="22.5">
      <c r="A439" s="49" t="s">
        <v>2690</v>
      </c>
      <c r="B439" s="49"/>
      <c r="C439" s="8" t="s">
        <v>2691</v>
      </c>
      <c r="D439" s="49" t="s">
        <v>3771</v>
      </c>
      <c r="E439" s="47" t="s">
        <v>3524</v>
      </c>
      <c r="F439" s="47"/>
      <c r="G439" s="47"/>
      <c r="H439" s="47" t="s">
        <v>2164</v>
      </c>
      <c r="I439" s="47" t="s">
        <v>2124</v>
      </c>
      <c r="J439" s="47"/>
      <c r="K439" s="47"/>
      <c r="L439" s="47" t="s">
        <v>2165</v>
      </c>
      <c r="M439" s="47">
        <v>1</v>
      </c>
      <c r="N439" s="47" t="s">
        <v>1252</v>
      </c>
      <c r="O439" s="49"/>
      <c r="P439" s="36" t="str">
        <f>HYPERLINK("http://biade.itrust.de/biade/lpext.dll?f=id&amp;id=biadb%3Ar%3A510778&amp;t=main-h.htm","510778")</f>
        <v>510778</v>
      </c>
    </row>
    <row r="440" spans="1:16" ht="22.5">
      <c r="A440" s="56"/>
      <c r="B440" s="56"/>
      <c r="C440" s="8" t="s">
        <v>2692</v>
      </c>
      <c r="D440" s="56"/>
      <c r="E440" s="55"/>
      <c r="F440" s="55"/>
      <c r="G440" s="55"/>
      <c r="H440" s="55"/>
      <c r="I440" s="55"/>
      <c r="J440" s="55"/>
      <c r="K440" s="55"/>
      <c r="L440" s="55"/>
      <c r="M440" s="55"/>
      <c r="N440" s="55"/>
      <c r="O440" s="56"/>
      <c r="P440" s="36" t="str">
        <f>HYPERLINK("http://biade.itrust.de/biade/lpext.dll?f=id&amp;id=biadb%3Ar%3A510778&amp;t=main-h.htm","510778")</f>
        <v>510778</v>
      </c>
    </row>
    <row r="441" spans="1:16" ht="23.25" thickBot="1">
      <c r="A441" s="50"/>
      <c r="B441" s="50"/>
      <c r="C441" s="11" t="s">
        <v>2693</v>
      </c>
      <c r="D441" s="50"/>
      <c r="E441" s="48"/>
      <c r="F441" s="48"/>
      <c r="G441" s="48"/>
      <c r="H441" s="48"/>
      <c r="I441" s="48"/>
      <c r="J441" s="48"/>
      <c r="K441" s="48"/>
      <c r="L441" s="48"/>
      <c r="M441" s="48"/>
      <c r="N441" s="48"/>
      <c r="O441" s="50"/>
      <c r="P441" s="25" t="str">
        <f>HYPERLINK("http://biade.itrust.de/biade/lpext.dll?f=id&amp;id=biadb%3Ar%3A510778&amp;t=main-h.htm","510778")</f>
        <v>510778</v>
      </c>
    </row>
    <row r="442" spans="1:16" ht="22.5" customHeight="1">
      <c r="A442" s="58" t="s">
        <v>2694</v>
      </c>
      <c r="B442" s="49" t="s">
        <v>1156</v>
      </c>
      <c r="C442" s="51" t="s">
        <v>2695</v>
      </c>
      <c r="D442" s="49" t="s">
        <v>2128</v>
      </c>
      <c r="E442" s="47" t="s">
        <v>2696</v>
      </c>
      <c r="F442" s="47"/>
      <c r="G442" s="47"/>
      <c r="H442" s="47" t="s">
        <v>2447</v>
      </c>
      <c r="I442" s="39" t="s">
        <v>2697</v>
      </c>
      <c r="J442" s="47">
        <v>2</v>
      </c>
      <c r="K442" s="47"/>
      <c r="L442" s="47" t="s">
        <v>2165</v>
      </c>
      <c r="M442" s="47">
        <v>1</v>
      </c>
      <c r="N442" s="47" t="s">
        <v>2144</v>
      </c>
      <c r="O442" s="49"/>
      <c r="P442" s="51"/>
    </row>
    <row r="443" spans="1:16" ht="15.75" thickBot="1">
      <c r="A443" s="59"/>
      <c r="B443" s="50"/>
      <c r="C443" s="52"/>
      <c r="D443" s="50"/>
      <c r="E443" s="48"/>
      <c r="F443" s="48"/>
      <c r="G443" s="48"/>
      <c r="H443" s="48"/>
      <c r="I443" s="38" t="s">
        <v>2124</v>
      </c>
      <c r="J443" s="48"/>
      <c r="K443" s="48"/>
      <c r="L443" s="48"/>
      <c r="M443" s="48"/>
      <c r="N443" s="48"/>
      <c r="O443" s="50"/>
      <c r="P443" s="52"/>
    </row>
    <row r="444" spans="1:16" ht="25.5">
      <c r="A444" s="49" t="s">
        <v>936</v>
      </c>
      <c r="B444" s="7" t="s">
        <v>2698</v>
      </c>
      <c r="C444" s="51"/>
      <c r="D444" s="49" t="s">
        <v>2128</v>
      </c>
      <c r="E444" s="47" t="s">
        <v>2699</v>
      </c>
      <c r="F444" s="47" t="s">
        <v>3927</v>
      </c>
      <c r="G444" s="47"/>
      <c r="H444" s="47" t="s">
        <v>2164</v>
      </c>
      <c r="I444" s="47" t="s">
        <v>2124</v>
      </c>
      <c r="J444" s="47"/>
      <c r="K444" s="47"/>
      <c r="L444" s="47" t="s">
        <v>2130</v>
      </c>
      <c r="M444" s="47"/>
      <c r="N444" s="47"/>
      <c r="O444" s="49"/>
      <c r="P444" s="51"/>
    </row>
    <row r="445" spans="1:16" ht="15.75" thickBot="1">
      <c r="A445" s="50"/>
      <c r="B445" s="10" t="s">
        <v>1256</v>
      </c>
      <c r="C445" s="52"/>
      <c r="D445" s="50"/>
      <c r="E445" s="48"/>
      <c r="F445" s="48"/>
      <c r="G445" s="48"/>
      <c r="H445" s="48"/>
      <c r="I445" s="48"/>
      <c r="J445" s="48"/>
      <c r="K445" s="48"/>
      <c r="L445" s="48"/>
      <c r="M445" s="48"/>
      <c r="N445" s="48"/>
      <c r="O445" s="50"/>
      <c r="P445" s="52"/>
    </row>
    <row r="446" spans="1:16" ht="15">
      <c r="A446" s="49" t="s">
        <v>2700</v>
      </c>
      <c r="B446" s="49" t="s">
        <v>2701</v>
      </c>
      <c r="C446" s="51" t="s">
        <v>2702</v>
      </c>
      <c r="D446" s="49" t="s">
        <v>4010</v>
      </c>
      <c r="E446" s="47" t="s">
        <v>2703</v>
      </c>
      <c r="F446" s="47" t="s">
        <v>3791</v>
      </c>
      <c r="G446" s="47"/>
      <c r="H446" s="47" t="s">
        <v>1224</v>
      </c>
      <c r="I446" s="39">
        <v>0.41</v>
      </c>
      <c r="J446" s="47">
        <v>2</v>
      </c>
      <c r="K446" s="47" t="s">
        <v>2187</v>
      </c>
      <c r="L446" s="47" t="s">
        <v>2202</v>
      </c>
      <c r="M446" s="47">
        <v>2</v>
      </c>
      <c r="N446" s="47"/>
      <c r="O446" s="49"/>
      <c r="P446" s="51"/>
    </row>
    <row r="447" spans="1:16" ht="15.75" thickBot="1">
      <c r="A447" s="50"/>
      <c r="B447" s="50"/>
      <c r="C447" s="52"/>
      <c r="D447" s="50"/>
      <c r="E447" s="48"/>
      <c r="F447" s="48"/>
      <c r="G447" s="48"/>
      <c r="H447" s="48"/>
      <c r="I447" s="38">
        <v>0.1</v>
      </c>
      <c r="J447" s="48"/>
      <c r="K447" s="48"/>
      <c r="L447" s="48"/>
      <c r="M447" s="48"/>
      <c r="N447" s="48"/>
      <c r="O447" s="50"/>
      <c r="P447" s="52"/>
    </row>
    <row r="448" spans="1:16" ht="15.75" thickBot="1">
      <c r="A448" s="6" t="s">
        <v>2704</v>
      </c>
      <c r="B448" s="10" t="s">
        <v>2121</v>
      </c>
      <c r="C448" s="11" t="s">
        <v>2705</v>
      </c>
      <c r="D448" s="10"/>
      <c r="E448" s="38"/>
      <c r="F448" s="38"/>
      <c r="G448" s="38"/>
      <c r="H448" s="38" t="s">
        <v>2123</v>
      </c>
      <c r="I448" s="38" t="s">
        <v>2124</v>
      </c>
      <c r="J448" s="38"/>
      <c r="K448" s="38"/>
      <c r="L448" s="38" t="s">
        <v>2165</v>
      </c>
      <c r="M448" s="38">
        <v>1</v>
      </c>
      <c r="N448" s="38"/>
      <c r="O448" s="10"/>
      <c r="P448" s="11"/>
    </row>
    <row r="449" spans="1:16" ht="15.75" thickBot="1">
      <c r="A449" s="6" t="s">
        <v>2706</v>
      </c>
      <c r="B449" s="10" t="s">
        <v>2121</v>
      </c>
      <c r="C449" s="11" t="s">
        <v>2707</v>
      </c>
      <c r="D449" s="10"/>
      <c r="E449" s="38"/>
      <c r="F449" s="38"/>
      <c r="G449" s="38"/>
      <c r="H449" s="38" t="s">
        <v>2123</v>
      </c>
      <c r="I449" s="38" t="s">
        <v>2124</v>
      </c>
      <c r="J449" s="38"/>
      <c r="K449" s="38"/>
      <c r="L449" s="38" t="s">
        <v>2125</v>
      </c>
      <c r="M449" s="38" t="s">
        <v>2221</v>
      </c>
      <c r="N449" s="38"/>
      <c r="O449" s="10"/>
      <c r="P449" s="11"/>
    </row>
    <row r="450" spans="1:16" ht="15.75" thickBot="1">
      <c r="A450" s="6" t="s">
        <v>2708</v>
      </c>
      <c r="B450" s="10" t="s">
        <v>2121</v>
      </c>
      <c r="C450" s="11" t="s">
        <v>2709</v>
      </c>
      <c r="D450" s="10"/>
      <c r="E450" s="38"/>
      <c r="F450" s="38"/>
      <c r="G450" s="38"/>
      <c r="H450" s="38" t="s">
        <v>2123</v>
      </c>
      <c r="I450" s="38" t="s">
        <v>2124</v>
      </c>
      <c r="J450" s="38"/>
      <c r="K450" s="38"/>
      <c r="L450" s="38" t="s">
        <v>2125</v>
      </c>
      <c r="M450" s="38" t="s">
        <v>2221</v>
      </c>
      <c r="N450" s="38"/>
      <c r="O450" s="10"/>
      <c r="P450" s="11"/>
    </row>
    <row r="451" spans="1:16" ht="15">
      <c r="A451" s="5" t="s">
        <v>2710</v>
      </c>
      <c r="B451" s="49" t="s">
        <v>2121</v>
      </c>
      <c r="C451" s="51" t="s">
        <v>2712</v>
      </c>
      <c r="D451" s="49"/>
      <c r="E451" s="47"/>
      <c r="F451" s="47"/>
      <c r="G451" s="47"/>
      <c r="H451" s="47" t="s">
        <v>2123</v>
      </c>
      <c r="I451" s="47" t="s">
        <v>2124</v>
      </c>
      <c r="J451" s="47"/>
      <c r="K451" s="47"/>
      <c r="L451" s="47" t="s">
        <v>2165</v>
      </c>
      <c r="M451" s="47" t="s">
        <v>2221</v>
      </c>
      <c r="N451" s="47"/>
      <c r="O451" s="49"/>
      <c r="P451" s="51"/>
    </row>
    <row r="452" spans="1:16" ht="15.75" thickBot="1">
      <c r="A452" s="6" t="s">
        <v>2711</v>
      </c>
      <c r="B452" s="50"/>
      <c r="C452" s="52"/>
      <c r="D452" s="50"/>
      <c r="E452" s="48"/>
      <c r="F452" s="48"/>
      <c r="G452" s="48"/>
      <c r="H452" s="48"/>
      <c r="I452" s="48"/>
      <c r="J452" s="48"/>
      <c r="K452" s="48"/>
      <c r="L452" s="48"/>
      <c r="M452" s="48"/>
      <c r="N452" s="48"/>
      <c r="O452" s="50"/>
      <c r="P452" s="52"/>
    </row>
    <row r="453" spans="1:16" ht="15.75" thickBot="1">
      <c r="A453" s="6" t="s">
        <v>2713</v>
      </c>
      <c r="B453" s="10" t="s">
        <v>3896</v>
      </c>
      <c r="C453" s="11" t="s">
        <v>2714</v>
      </c>
      <c r="D453" s="10" t="s">
        <v>2134</v>
      </c>
      <c r="E453" s="38" t="s">
        <v>2135</v>
      </c>
      <c r="F453" s="38" t="s">
        <v>3990</v>
      </c>
      <c r="G453" s="38"/>
      <c r="H453" s="38" t="s">
        <v>2687</v>
      </c>
      <c r="I453" s="38" t="s">
        <v>2124</v>
      </c>
      <c r="J453" s="38"/>
      <c r="K453" s="38"/>
      <c r="L453" s="38" t="s">
        <v>2136</v>
      </c>
      <c r="M453" s="38">
        <v>1</v>
      </c>
      <c r="N453" s="38"/>
      <c r="O453" s="10"/>
      <c r="P453" s="11"/>
    </row>
    <row r="454" spans="1:16" ht="15">
      <c r="A454" s="5" t="s">
        <v>2715</v>
      </c>
      <c r="B454" s="49"/>
      <c r="C454" s="51" t="s">
        <v>2717</v>
      </c>
      <c r="D454" s="49" t="s">
        <v>2134</v>
      </c>
      <c r="E454" s="47" t="s">
        <v>2162</v>
      </c>
      <c r="F454" s="47" t="s">
        <v>2163</v>
      </c>
      <c r="G454" s="47"/>
      <c r="H454" s="47" t="s">
        <v>2718</v>
      </c>
      <c r="I454" s="47" t="s">
        <v>2124</v>
      </c>
      <c r="J454" s="47"/>
      <c r="K454" s="47"/>
      <c r="L454" s="47" t="s">
        <v>2136</v>
      </c>
      <c r="M454" s="47">
        <v>1</v>
      </c>
      <c r="N454" s="47" t="s">
        <v>1252</v>
      </c>
      <c r="O454" s="49"/>
      <c r="P454" s="51"/>
    </row>
    <row r="455" spans="1:16" ht="15.75" thickBot="1">
      <c r="A455" s="6" t="s">
        <v>2716</v>
      </c>
      <c r="B455" s="50"/>
      <c r="C455" s="52"/>
      <c r="D455" s="50"/>
      <c r="E455" s="48"/>
      <c r="F455" s="48"/>
      <c r="G455" s="48"/>
      <c r="H455" s="48"/>
      <c r="I455" s="48"/>
      <c r="J455" s="48"/>
      <c r="K455" s="48"/>
      <c r="L455" s="48"/>
      <c r="M455" s="48"/>
      <c r="N455" s="48"/>
      <c r="O455" s="50"/>
      <c r="P455" s="52"/>
    </row>
    <row r="456" spans="1:16" ht="15.75" thickBot="1">
      <c r="A456" s="6" t="s">
        <v>2719</v>
      </c>
      <c r="B456" s="10" t="s">
        <v>2121</v>
      </c>
      <c r="C456" s="11" t="s">
        <v>2720</v>
      </c>
      <c r="D456" s="10" t="s">
        <v>3961</v>
      </c>
      <c r="E456" s="38" t="s">
        <v>2721</v>
      </c>
      <c r="F456" s="38" t="s">
        <v>3528</v>
      </c>
      <c r="G456" s="38"/>
      <c r="H456" s="38" t="s">
        <v>2687</v>
      </c>
      <c r="I456" s="38" t="s">
        <v>2124</v>
      </c>
      <c r="J456" s="38"/>
      <c r="K456" s="38"/>
      <c r="L456" s="38" t="s">
        <v>2165</v>
      </c>
      <c r="M456" s="38">
        <v>2</v>
      </c>
      <c r="N456" s="38" t="s">
        <v>2144</v>
      </c>
      <c r="O456" s="10"/>
      <c r="P456" s="11"/>
    </row>
    <row r="457" spans="1:16" ht="25.5" customHeight="1">
      <c r="A457" s="5" t="s">
        <v>2722</v>
      </c>
      <c r="B457" s="49" t="s">
        <v>2121</v>
      </c>
      <c r="C457" s="51" t="s">
        <v>2723</v>
      </c>
      <c r="D457" s="49" t="s">
        <v>2128</v>
      </c>
      <c r="E457" s="47" t="s">
        <v>2724</v>
      </c>
      <c r="F457" s="47" t="s">
        <v>2725</v>
      </c>
      <c r="G457" s="47" t="s">
        <v>3940</v>
      </c>
      <c r="H457" s="47" t="s">
        <v>2687</v>
      </c>
      <c r="I457" s="47" t="s">
        <v>2124</v>
      </c>
      <c r="J457" s="47"/>
      <c r="K457" s="47"/>
      <c r="L457" s="47" t="s">
        <v>2165</v>
      </c>
      <c r="M457" s="47">
        <v>1</v>
      </c>
      <c r="N457" s="47"/>
      <c r="O457" s="49"/>
      <c r="P457" s="51"/>
    </row>
    <row r="458" spans="1:16" ht="15.75" thickBot="1">
      <c r="A458" s="6" t="s">
        <v>2655</v>
      </c>
      <c r="B458" s="50"/>
      <c r="C458" s="52"/>
      <c r="D458" s="50"/>
      <c r="E458" s="48"/>
      <c r="F458" s="48"/>
      <c r="G458" s="48"/>
      <c r="H458" s="48"/>
      <c r="I458" s="48"/>
      <c r="J458" s="48"/>
      <c r="K458" s="48"/>
      <c r="L458" s="48"/>
      <c r="M458" s="48"/>
      <c r="N458" s="48"/>
      <c r="O458" s="50"/>
      <c r="P458" s="52"/>
    </row>
    <row r="459" spans="1:16" ht="15.75" thickBot="1">
      <c r="A459" s="6" t="s">
        <v>2726</v>
      </c>
      <c r="B459" s="10" t="s">
        <v>4217</v>
      </c>
      <c r="C459" s="11" t="s">
        <v>2727</v>
      </c>
      <c r="D459" s="10" t="s">
        <v>2128</v>
      </c>
      <c r="E459" s="38" t="s">
        <v>4025</v>
      </c>
      <c r="F459" s="38" t="s">
        <v>2728</v>
      </c>
      <c r="G459" s="38"/>
      <c r="H459" s="38" t="s">
        <v>2687</v>
      </c>
      <c r="I459" s="38" t="s">
        <v>2124</v>
      </c>
      <c r="J459" s="38"/>
      <c r="K459" s="38"/>
      <c r="L459" s="38" t="s">
        <v>2130</v>
      </c>
      <c r="M459" s="38">
        <v>2</v>
      </c>
      <c r="N459" s="38"/>
      <c r="O459" s="10"/>
      <c r="P459" s="25" t="str">
        <f>HYPERLINK("http://biade.itrust.de/biade/lpext.dll?f=id&amp;id=biadb%3Ar%3A031100&amp;t=main-h.htm","31100")</f>
        <v>31100</v>
      </c>
    </row>
    <row r="460" spans="1:16" ht="15.75" thickBot="1">
      <c r="A460" s="6" t="s">
        <v>2729</v>
      </c>
      <c r="B460" s="10" t="s">
        <v>3843</v>
      </c>
      <c r="C460" s="11" t="s">
        <v>2730</v>
      </c>
      <c r="D460" s="10" t="s">
        <v>2128</v>
      </c>
      <c r="E460" s="38">
        <v>22</v>
      </c>
      <c r="F460" s="38" t="s">
        <v>2731</v>
      </c>
      <c r="G460" s="38"/>
      <c r="H460" s="38" t="s">
        <v>2687</v>
      </c>
      <c r="I460" s="38" t="s">
        <v>2124</v>
      </c>
      <c r="J460" s="38"/>
      <c r="K460" s="38"/>
      <c r="L460" s="38" t="s">
        <v>2130</v>
      </c>
      <c r="M460" s="38" t="s">
        <v>2221</v>
      </c>
      <c r="N460" s="38"/>
      <c r="O460" s="10"/>
      <c r="P460" s="11"/>
    </row>
    <row r="461" spans="1:16" ht="15">
      <c r="A461" s="49" t="s">
        <v>2732</v>
      </c>
      <c r="B461" s="49" t="s">
        <v>2733</v>
      </c>
      <c r="C461" s="51" t="s">
        <v>2734</v>
      </c>
      <c r="D461" s="49" t="s">
        <v>2152</v>
      </c>
      <c r="E461" s="47" t="s">
        <v>2735</v>
      </c>
      <c r="F461" s="47" t="s">
        <v>2736</v>
      </c>
      <c r="G461" s="47"/>
      <c r="H461" s="47" t="s">
        <v>3220</v>
      </c>
      <c r="I461" s="39">
        <v>1.5</v>
      </c>
      <c r="J461" s="47">
        <v>1</v>
      </c>
      <c r="K461" s="47" t="s">
        <v>3975</v>
      </c>
      <c r="L461" s="47" t="s">
        <v>2210</v>
      </c>
      <c r="M461" s="47">
        <v>2</v>
      </c>
      <c r="N461" s="47" t="s">
        <v>2737</v>
      </c>
      <c r="O461" s="49"/>
      <c r="P461" s="51"/>
    </row>
    <row r="462" spans="1:16" ht="15.75" thickBot="1">
      <c r="A462" s="50"/>
      <c r="B462" s="50"/>
      <c r="C462" s="52"/>
      <c r="D462" s="50"/>
      <c r="E462" s="48"/>
      <c r="F462" s="48"/>
      <c r="G462" s="48"/>
      <c r="H462" s="48"/>
      <c r="I462" s="38">
        <v>0.5</v>
      </c>
      <c r="J462" s="48"/>
      <c r="K462" s="48"/>
      <c r="L462" s="48"/>
      <c r="M462" s="48"/>
      <c r="N462" s="48"/>
      <c r="O462" s="50"/>
      <c r="P462" s="52"/>
    </row>
    <row r="463" spans="1:16" ht="15.75" thickBot="1">
      <c r="A463" s="6" t="s">
        <v>937</v>
      </c>
      <c r="B463" s="10" t="s">
        <v>1155</v>
      </c>
      <c r="C463" s="11" t="s">
        <v>2738</v>
      </c>
      <c r="D463" s="10" t="s">
        <v>1229</v>
      </c>
      <c r="E463" s="38" t="s">
        <v>2739</v>
      </c>
      <c r="F463" s="38" t="s">
        <v>1231</v>
      </c>
      <c r="G463" s="38" t="s">
        <v>894</v>
      </c>
      <c r="H463" s="38" t="s">
        <v>2185</v>
      </c>
      <c r="I463" s="38" t="s">
        <v>2124</v>
      </c>
      <c r="J463" s="38"/>
      <c r="K463" s="38" t="s">
        <v>2187</v>
      </c>
      <c r="L463" s="38" t="s">
        <v>2194</v>
      </c>
      <c r="M463" s="38">
        <v>3</v>
      </c>
      <c r="N463" s="38" t="s">
        <v>2467</v>
      </c>
      <c r="O463" s="10"/>
      <c r="P463" s="25" t="str">
        <f>HYPERLINK("http://biade.itrust.de/biade/lpext.dll?f=id&amp;id=biadb%3Ar%3A013370&amp;t=main-h.htm","13370")</f>
        <v>13370</v>
      </c>
    </row>
    <row r="464" spans="1:16" ht="15.75" thickBot="1">
      <c r="A464" s="6" t="s">
        <v>938</v>
      </c>
      <c r="B464" s="10" t="s">
        <v>1154</v>
      </c>
      <c r="C464" s="11" t="s">
        <v>2740</v>
      </c>
      <c r="D464" s="10" t="s">
        <v>3859</v>
      </c>
      <c r="E464" s="38">
        <v>11</v>
      </c>
      <c r="F464" s="38" t="s">
        <v>2741</v>
      </c>
      <c r="G464" s="38"/>
      <c r="H464" s="38" t="s">
        <v>2129</v>
      </c>
      <c r="I464" s="38" t="s">
        <v>2124</v>
      </c>
      <c r="J464" s="38"/>
      <c r="K464" s="38" t="s">
        <v>2533</v>
      </c>
      <c r="L464" s="38" t="s">
        <v>2194</v>
      </c>
      <c r="M464" s="38">
        <v>1</v>
      </c>
      <c r="N464" s="38"/>
      <c r="O464" s="10"/>
      <c r="P464" s="25" t="str">
        <f>HYPERLINK("http://biade.itrust.de/biade/lpext.dll?f=id&amp;id=biadb%3Ar%3A028090&amp;t=main-h.htm","28090")</f>
        <v>28090</v>
      </c>
    </row>
    <row r="465" spans="1:16" ht="15" customHeight="1">
      <c r="A465" s="49" t="s">
        <v>983</v>
      </c>
      <c r="B465" s="7" t="s">
        <v>1153</v>
      </c>
      <c r="C465" s="51" t="s">
        <v>1279</v>
      </c>
      <c r="D465" s="49" t="s">
        <v>1229</v>
      </c>
      <c r="E465" s="47" t="s">
        <v>1280</v>
      </c>
      <c r="F465" s="47" t="s">
        <v>1281</v>
      </c>
      <c r="G465" s="47" t="s">
        <v>3940</v>
      </c>
      <c r="H465" s="47" t="s">
        <v>1282</v>
      </c>
      <c r="I465" s="47" t="s">
        <v>2124</v>
      </c>
      <c r="J465" s="47"/>
      <c r="K465" s="47" t="s">
        <v>2157</v>
      </c>
      <c r="L465" s="47" t="s">
        <v>2194</v>
      </c>
      <c r="M465" s="47"/>
      <c r="N465" s="47"/>
      <c r="O465" s="49"/>
      <c r="P465" s="51"/>
    </row>
    <row r="466" spans="1:16" ht="15.75" thickBot="1">
      <c r="A466" s="50"/>
      <c r="B466" s="10" t="s">
        <v>1099</v>
      </c>
      <c r="C466" s="52"/>
      <c r="D466" s="50"/>
      <c r="E466" s="48"/>
      <c r="F466" s="48"/>
      <c r="G466" s="48"/>
      <c r="H466" s="48"/>
      <c r="I466" s="48"/>
      <c r="J466" s="48"/>
      <c r="K466" s="48"/>
      <c r="L466" s="48"/>
      <c r="M466" s="48"/>
      <c r="N466" s="48"/>
      <c r="O466" s="50"/>
      <c r="P466" s="52"/>
    </row>
    <row r="467" spans="1:16" ht="15">
      <c r="A467" s="49" t="s">
        <v>1283</v>
      </c>
      <c r="B467" s="49" t="s">
        <v>1284</v>
      </c>
      <c r="C467" s="51" t="s">
        <v>2751</v>
      </c>
      <c r="D467" s="49" t="s">
        <v>2752</v>
      </c>
      <c r="E467" s="47" t="s">
        <v>2753</v>
      </c>
      <c r="F467" s="47" t="s">
        <v>2754</v>
      </c>
      <c r="G467" s="47" t="s">
        <v>2755</v>
      </c>
      <c r="H467" s="47" t="s">
        <v>2756</v>
      </c>
      <c r="I467" s="47" t="s">
        <v>2124</v>
      </c>
      <c r="J467" s="47"/>
      <c r="K467" s="39" t="s">
        <v>3774</v>
      </c>
      <c r="L467" s="47" t="s">
        <v>2194</v>
      </c>
      <c r="M467" s="47">
        <v>2</v>
      </c>
      <c r="N467" s="47"/>
      <c r="O467" s="49"/>
      <c r="P467" s="51"/>
    </row>
    <row r="468" spans="1:16" ht="15">
      <c r="A468" s="56"/>
      <c r="B468" s="56"/>
      <c r="C468" s="57"/>
      <c r="D468" s="56"/>
      <c r="E468" s="55"/>
      <c r="F468" s="55"/>
      <c r="G468" s="55"/>
      <c r="H468" s="55"/>
      <c r="I468" s="55"/>
      <c r="J468" s="55"/>
      <c r="K468" s="39" t="s">
        <v>3781</v>
      </c>
      <c r="L468" s="55"/>
      <c r="M468" s="55"/>
      <c r="N468" s="55"/>
      <c r="O468" s="56"/>
      <c r="P468" s="57"/>
    </row>
    <row r="469" spans="1:16" ht="15.75" thickBot="1">
      <c r="A469" s="50"/>
      <c r="B469" s="50"/>
      <c r="C469" s="52"/>
      <c r="D469" s="50"/>
      <c r="E469" s="48"/>
      <c r="F469" s="48"/>
      <c r="G469" s="48"/>
      <c r="H469" s="48"/>
      <c r="I469" s="48"/>
      <c r="J469" s="48"/>
      <c r="K469" s="38" t="s">
        <v>2191</v>
      </c>
      <c r="L469" s="48"/>
      <c r="M469" s="48"/>
      <c r="N469" s="48"/>
      <c r="O469" s="50"/>
      <c r="P469" s="52"/>
    </row>
    <row r="470" spans="1:16" ht="15.75" thickBot="1">
      <c r="A470" s="6" t="s">
        <v>939</v>
      </c>
      <c r="B470" s="10"/>
      <c r="C470" s="11" t="s">
        <v>2757</v>
      </c>
      <c r="D470" s="10" t="s">
        <v>2152</v>
      </c>
      <c r="E470" s="38" t="s">
        <v>878</v>
      </c>
      <c r="F470" s="38" t="s">
        <v>2758</v>
      </c>
      <c r="G470" s="38"/>
      <c r="H470" s="38" t="s">
        <v>2756</v>
      </c>
      <c r="I470" s="38" t="s">
        <v>2124</v>
      </c>
      <c r="J470" s="38"/>
      <c r="K470" s="38" t="s">
        <v>2189</v>
      </c>
      <c r="L470" s="38" t="s">
        <v>2194</v>
      </c>
      <c r="M470" s="38">
        <v>2</v>
      </c>
      <c r="N470" s="38"/>
      <c r="O470" s="10"/>
      <c r="P470" s="25" t="str">
        <f>HYPERLINK("http://biade.itrust.de/biade/lpext.dll?f=id&amp;id=biadb%3Ar%3A018110&amp;t=main-h.htm","18110")</f>
        <v>18110</v>
      </c>
    </row>
    <row r="471" spans="1:16" ht="15">
      <c r="A471" s="5" t="s">
        <v>2759</v>
      </c>
      <c r="B471" s="49" t="s">
        <v>1152</v>
      </c>
      <c r="C471" s="51" t="s">
        <v>2760</v>
      </c>
      <c r="D471" s="49" t="s">
        <v>1229</v>
      </c>
      <c r="E471" s="47" t="s">
        <v>2761</v>
      </c>
      <c r="F471" s="47" t="s">
        <v>2762</v>
      </c>
      <c r="G471" s="47"/>
      <c r="H471" s="47" t="s">
        <v>2687</v>
      </c>
      <c r="I471" s="47" t="s">
        <v>2124</v>
      </c>
      <c r="J471" s="47"/>
      <c r="K471" s="47" t="s">
        <v>2189</v>
      </c>
      <c r="L471" s="47" t="s">
        <v>2194</v>
      </c>
      <c r="M471" s="47">
        <v>2</v>
      </c>
      <c r="N471" s="47" t="s">
        <v>3993</v>
      </c>
      <c r="O471" s="49"/>
      <c r="P471" s="51"/>
    </row>
    <row r="472" spans="1:16" ht="15.75" thickBot="1">
      <c r="A472" s="6" t="s">
        <v>1617</v>
      </c>
      <c r="B472" s="50"/>
      <c r="C472" s="52"/>
      <c r="D472" s="50"/>
      <c r="E472" s="48"/>
      <c r="F472" s="48"/>
      <c r="G472" s="48"/>
      <c r="H472" s="48"/>
      <c r="I472" s="48"/>
      <c r="J472" s="48"/>
      <c r="K472" s="48"/>
      <c r="L472" s="48"/>
      <c r="M472" s="48"/>
      <c r="N472" s="48"/>
      <c r="O472" s="50"/>
      <c r="P472" s="52"/>
    </row>
    <row r="473" spans="1:16" ht="15">
      <c r="A473" s="5" t="s">
        <v>2763</v>
      </c>
      <c r="B473" s="49" t="s">
        <v>1151</v>
      </c>
      <c r="C473" s="51" t="s">
        <v>2765</v>
      </c>
      <c r="D473" s="49" t="s">
        <v>2227</v>
      </c>
      <c r="E473" s="47" t="s">
        <v>2766</v>
      </c>
      <c r="F473" s="47" t="s">
        <v>2767</v>
      </c>
      <c r="G473" s="47"/>
      <c r="H473" s="47" t="s">
        <v>2687</v>
      </c>
      <c r="I473" s="47" t="s">
        <v>2124</v>
      </c>
      <c r="J473" s="47"/>
      <c r="K473" s="47"/>
      <c r="L473" s="47" t="s">
        <v>2194</v>
      </c>
      <c r="M473" s="47">
        <v>2</v>
      </c>
      <c r="N473" s="47" t="s">
        <v>3792</v>
      </c>
      <c r="O473" s="49"/>
      <c r="P473" s="51"/>
    </row>
    <row r="474" spans="1:16" ht="15.75" thickBot="1">
      <c r="A474" s="6" t="s">
        <v>2764</v>
      </c>
      <c r="B474" s="50"/>
      <c r="C474" s="52"/>
      <c r="D474" s="50"/>
      <c r="E474" s="48"/>
      <c r="F474" s="48"/>
      <c r="G474" s="48"/>
      <c r="H474" s="48"/>
      <c r="I474" s="48"/>
      <c r="J474" s="48"/>
      <c r="K474" s="48"/>
      <c r="L474" s="48"/>
      <c r="M474" s="48"/>
      <c r="N474" s="48"/>
      <c r="O474" s="50"/>
      <c r="P474" s="52"/>
    </row>
    <row r="475" spans="1:16" ht="15.75" thickBot="1">
      <c r="A475" s="6" t="s">
        <v>2768</v>
      </c>
      <c r="B475" s="18" t="s">
        <v>2769</v>
      </c>
      <c r="C475" s="11" t="s">
        <v>2770</v>
      </c>
      <c r="D475" s="10" t="s">
        <v>821</v>
      </c>
      <c r="E475" s="38" t="s">
        <v>878</v>
      </c>
      <c r="F475" s="38" t="s">
        <v>2758</v>
      </c>
      <c r="G475" s="38" t="s">
        <v>2183</v>
      </c>
      <c r="H475" s="38" t="s">
        <v>1282</v>
      </c>
      <c r="I475" s="38" t="s">
        <v>2124</v>
      </c>
      <c r="J475" s="38"/>
      <c r="K475" s="38" t="s">
        <v>2189</v>
      </c>
      <c r="L475" s="38" t="s">
        <v>2194</v>
      </c>
      <c r="M475" s="38">
        <v>2</v>
      </c>
      <c r="N475" s="38" t="s">
        <v>2771</v>
      </c>
      <c r="O475" s="10"/>
      <c r="P475" s="25" t="str">
        <f>HYPERLINK("http://biade.itrust.de/biade/lpext.dll?f=id&amp;id=biadb%3Ar%3A018780&amp;t=main-h.htm","18780")</f>
        <v>18780</v>
      </c>
    </row>
    <row r="476" spans="1:16" ht="15.75" thickBot="1">
      <c r="A476" s="6" t="s">
        <v>2772</v>
      </c>
      <c r="B476" s="18" t="s">
        <v>2773</v>
      </c>
      <c r="C476" s="11" t="s">
        <v>2774</v>
      </c>
      <c r="D476" s="10" t="s">
        <v>821</v>
      </c>
      <c r="E476" s="38" t="s">
        <v>878</v>
      </c>
      <c r="F476" s="38" t="s">
        <v>2758</v>
      </c>
      <c r="G476" s="38" t="s">
        <v>2183</v>
      </c>
      <c r="H476" s="38" t="s">
        <v>1282</v>
      </c>
      <c r="I476" s="38" t="s">
        <v>2124</v>
      </c>
      <c r="J476" s="38"/>
      <c r="K476" s="38" t="s">
        <v>2189</v>
      </c>
      <c r="L476" s="38" t="s">
        <v>2194</v>
      </c>
      <c r="M476" s="38">
        <v>2</v>
      </c>
      <c r="N476" s="38" t="s">
        <v>2771</v>
      </c>
      <c r="O476" s="10"/>
      <c r="P476" s="25" t="str">
        <f>HYPERLINK("http://biade.itrust.de/biade/lpext.dll?f=id&amp;id=biadb%3Ar%3A018790&amp;t=main-h.htm","18790")</f>
        <v>18790</v>
      </c>
    </row>
    <row r="477" spans="1:16" ht="15.75" thickBot="1">
      <c r="A477" s="6" t="s">
        <v>2775</v>
      </c>
      <c r="B477" s="18" t="s">
        <v>2776</v>
      </c>
      <c r="C477" s="11" t="s">
        <v>2777</v>
      </c>
      <c r="D477" s="10" t="s">
        <v>2152</v>
      </c>
      <c r="E477" s="38" t="s">
        <v>2778</v>
      </c>
      <c r="F477" s="38" t="s">
        <v>2154</v>
      </c>
      <c r="G477" s="38" t="s">
        <v>2779</v>
      </c>
      <c r="H477" s="38" t="s">
        <v>1232</v>
      </c>
      <c r="I477" s="38" t="s">
        <v>2124</v>
      </c>
      <c r="J477" s="38"/>
      <c r="K477" s="38" t="s">
        <v>2187</v>
      </c>
      <c r="L477" s="38" t="s">
        <v>2194</v>
      </c>
      <c r="M477" s="38">
        <v>3</v>
      </c>
      <c r="N477" s="38"/>
      <c r="O477" s="10"/>
      <c r="P477" s="25" t="str">
        <f>HYPERLINK("http://biade.itrust.de/biade/lpext.dll?f=id&amp;id=biadb%3Ar%3A011830&amp;t=main-h.htm","11830")</f>
        <v>11830</v>
      </c>
    </row>
    <row r="478" spans="1:16" ht="26.25" thickBot="1">
      <c r="A478" s="6" t="s">
        <v>2780</v>
      </c>
      <c r="B478" s="10" t="s">
        <v>1150</v>
      </c>
      <c r="C478" s="11" t="s">
        <v>2781</v>
      </c>
      <c r="D478" s="10" t="s">
        <v>2134</v>
      </c>
      <c r="E478" s="38" t="s">
        <v>2162</v>
      </c>
      <c r="F478" s="38"/>
      <c r="G478" s="38"/>
      <c r="H478" s="38" t="s">
        <v>2687</v>
      </c>
      <c r="I478" s="38" t="s">
        <v>2124</v>
      </c>
      <c r="J478" s="38"/>
      <c r="K478" s="38"/>
      <c r="L478" s="38" t="s">
        <v>2165</v>
      </c>
      <c r="M478" s="38">
        <v>3</v>
      </c>
      <c r="N478" s="38" t="s">
        <v>1252</v>
      </c>
      <c r="O478" s="10"/>
      <c r="P478" s="11"/>
    </row>
    <row r="479" spans="1:16" ht="15">
      <c r="A479" s="49" t="s">
        <v>2782</v>
      </c>
      <c r="B479" s="49" t="s">
        <v>2783</v>
      </c>
      <c r="C479" s="51" t="s">
        <v>2784</v>
      </c>
      <c r="D479" s="49" t="s">
        <v>3961</v>
      </c>
      <c r="E479" s="47" t="s">
        <v>2785</v>
      </c>
      <c r="F479" s="47" t="s">
        <v>3528</v>
      </c>
      <c r="G479" s="47"/>
      <c r="H479" s="47" t="s">
        <v>2687</v>
      </c>
      <c r="I479" s="39">
        <v>47</v>
      </c>
      <c r="J479" s="47">
        <v>2</v>
      </c>
      <c r="K479" s="47" t="s">
        <v>2533</v>
      </c>
      <c r="L479" s="47" t="s">
        <v>2194</v>
      </c>
      <c r="M479" s="47">
        <v>2</v>
      </c>
      <c r="N479" s="47" t="s">
        <v>2786</v>
      </c>
      <c r="O479" s="49"/>
      <c r="P479" s="51"/>
    </row>
    <row r="480" spans="1:16" ht="15.75" thickBot="1">
      <c r="A480" s="50"/>
      <c r="B480" s="50"/>
      <c r="C480" s="52"/>
      <c r="D480" s="50"/>
      <c r="E480" s="48"/>
      <c r="F480" s="48"/>
      <c r="G480" s="48"/>
      <c r="H480" s="48"/>
      <c r="I480" s="38">
        <v>10</v>
      </c>
      <c r="J480" s="48"/>
      <c r="K480" s="48"/>
      <c r="L480" s="48"/>
      <c r="M480" s="48"/>
      <c r="N480" s="48"/>
      <c r="O480" s="50"/>
      <c r="P480" s="52"/>
    </row>
    <row r="481" spans="1:16" ht="15">
      <c r="A481" s="49" t="s">
        <v>2787</v>
      </c>
      <c r="B481" s="49" t="s">
        <v>2788</v>
      </c>
      <c r="C481" s="51" t="s">
        <v>2789</v>
      </c>
      <c r="D481" s="49" t="s">
        <v>3859</v>
      </c>
      <c r="E481" s="47">
        <v>11</v>
      </c>
      <c r="F481" s="47" t="s">
        <v>2741</v>
      </c>
      <c r="G481" s="47"/>
      <c r="H481" s="47" t="s">
        <v>2687</v>
      </c>
      <c r="I481" s="39">
        <v>95.5</v>
      </c>
      <c r="J481" s="47">
        <v>1</v>
      </c>
      <c r="K481" s="47" t="s">
        <v>2533</v>
      </c>
      <c r="L481" s="47" t="s">
        <v>2194</v>
      </c>
      <c r="M481" s="47">
        <v>2</v>
      </c>
      <c r="N481" s="47"/>
      <c r="O481" s="49"/>
      <c r="P481" s="51"/>
    </row>
    <row r="482" spans="1:16" ht="15.75" thickBot="1">
      <c r="A482" s="50"/>
      <c r="B482" s="50"/>
      <c r="C482" s="52"/>
      <c r="D482" s="50"/>
      <c r="E482" s="48"/>
      <c r="F482" s="48"/>
      <c r="G482" s="48"/>
      <c r="H482" s="48"/>
      <c r="I482" s="38">
        <v>25</v>
      </c>
      <c r="J482" s="48"/>
      <c r="K482" s="48"/>
      <c r="L482" s="48"/>
      <c r="M482" s="48"/>
      <c r="N482" s="48"/>
      <c r="O482" s="50"/>
      <c r="P482" s="52"/>
    </row>
    <row r="483" spans="1:16" ht="26.25" thickBot="1">
      <c r="A483" s="6" t="s">
        <v>2790</v>
      </c>
      <c r="B483" s="18" t="s">
        <v>1149</v>
      </c>
      <c r="C483" s="11" t="s">
        <v>2791</v>
      </c>
      <c r="D483" s="10" t="s">
        <v>3859</v>
      </c>
      <c r="E483" s="38">
        <v>11</v>
      </c>
      <c r="F483" s="38" t="s">
        <v>2792</v>
      </c>
      <c r="G483" s="38"/>
      <c r="H483" s="38" t="s">
        <v>2687</v>
      </c>
      <c r="I483" s="38" t="s">
        <v>2124</v>
      </c>
      <c r="J483" s="38"/>
      <c r="K483" s="38" t="s">
        <v>2533</v>
      </c>
      <c r="L483" s="38" t="s">
        <v>2194</v>
      </c>
      <c r="M483" s="38">
        <v>2</v>
      </c>
      <c r="N483" s="38"/>
      <c r="O483" s="10"/>
      <c r="P483" s="25" t="str">
        <f>HYPERLINK("http://biade.itrust.de/biade/lpext.dll?f=id&amp;id=biadb%3Ar%3A032800&amp;t=main-h.htm","32800")</f>
        <v>32800</v>
      </c>
    </row>
    <row r="484" spans="1:16" ht="15">
      <c r="A484" s="49" t="s">
        <v>2793</v>
      </c>
      <c r="B484" s="49" t="s">
        <v>2794</v>
      </c>
      <c r="C484" s="51" t="s">
        <v>2795</v>
      </c>
      <c r="D484" s="49" t="s">
        <v>2152</v>
      </c>
      <c r="E484" s="47" t="s">
        <v>2796</v>
      </c>
      <c r="F484" s="47" t="s">
        <v>2797</v>
      </c>
      <c r="G484" s="47" t="s">
        <v>2183</v>
      </c>
      <c r="H484" s="47" t="s">
        <v>1282</v>
      </c>
      <c r="I484" s="39">
        <v>4</v>
      </c>
      <c r="J484" s="47">
        <v>1</v>
      </c>
      <c r="K484" s="47" t="s">
        <v>2189</v>
      </c>
      <c r="L484" s="47" t="s">
        <v>2165</v>
      </c>
      <c r="M484" s="47">
        <v>2</v>
      </c>
      <c r="N484" s="47" t="s">
        <v>2798</v>
      </c>
      <c r="O484" s="49"/>
      <c r="P484" s="51"/>
    </row>
    <row r="485" spans="1:16" ht="15.75" thickBot="1">
      <c r="A485" s="50"/>
      <c r="B485" s="50"/>
      <c r="C485" s="52"/>
      <c r="D485" s="50"/>
      <c r="E485" s="48"/>
      <c r="F485" s="48"/>
      <c r="G485" s="48"/>
      <c r="H485" s="48"/>
      <c r="I485" s="38">
        <v>1</v>
      </c>
      <c r="J485" s="48"/>
      <c r="K485" s="48"/>
      <c r="L485" s="48"/>
      <c r="M485" s="48"/>
      <c r="N485" s="48"/>
      <c r="O485" s="50"/>
      <c r="P485" s="52"/>
    </row>
    <row r="486" spans="1:16" ht="15">
      <c r="A486" s="49" t="s">
        <v>2799</v>
      </c>
      <c r="B486" s="49" t="s">
        <v>2800</v>
      </c>
      <c r="C486" s="51" t="s">
        <v>2801</v>
      </c>
      <c r="D486" s="49" t="s">
        <v>2802</v>
      </c>
      <c r="E486" s="47" t="s">
        <v>2803</v>
      </c>
      <c r="F486" s="47" t="s">
        <v>2804</v>
      </c>
      <c r="G486" s="47" t="s">
        <v>2805</v>
      </c>
      <c r="H486" s="47" t="s">
        <v>1275</v>
      </c>
      <c r="I486" s="39">
        <v>110</v>
      </c>
      <c r="J486" s="47">
        <v>2</v>
      </c>
      <c r="K486" s="47" t="s">
        <v>2188</v>
      </c>
      <c r="L486" s="47" t="s">
        <v>2201</v>
      </c>
      <c r="M486" s="47">
        <v>2</v>
      </c>
      <c r="N486" s="47"/>
      <c r="O486" s="49"/>
      <c r="P486" s="51"/>
    </row>
    <row r="487" spans="1:16" ht="15.75" thickBot="1">
      <c r="A487" s="50"/>
      <c r="B487" s="50"/>
      <c r="C487" s="52"/>
      <c r="D487" s="50"/>
      <c r="E487" s="48"/>
      <c r="F487" s="48"/>
      <c r="G487" s="48"/>
      <c r="H487" s="48"/>
      <c r="I487" s="38">
        <v>40</v>
      </c>
      <c r="J487" s="48"/>
      <c r="K487" s="48"/>
      <c r="L487" s="48"/>
      <c r="M487" s="48"/>
      <c r="N487" s="48"/>
      <c r="O487" s="50"/>
      <c r="P487" s="52"/>
    </row>
    <row r="488" spans="1:16" ht="15">
      <c r="A488" s="49" t="s">
        <v>2806</v>
      </c>
      <c r="B488" s="49" t="s">
        <v>1148</v>
      </c>
      <c r="C488" s="51" t="s">
        <v>2807</v>
      </c>
      <c r="D488" s="49" t="s">
        <v>4010</v>
      </c>
      <c r="E488" s="47" t="s">
        <v>2808</v>
      </c>
      <c r="F488" s="47" t="s">
        <v>2809</v>
      </c>
      <c r="G488" s="47" t="s">
        <v>2183</v>
      </c>
      <c r="H488" s="47" t="s">
        <v>1282</v>
      </c>
      <c r="I488" s="39">
        <v>3.3</v>
      </c>
      <c r="J488" s="47">
        <v>1</v>
      </c>
      <c r="K488" s="47" t="s">
        <v>2189</v>
      </c>
      <c r="L488" s="47" t="s">
        <v>2194</v>
      </c>
      <c r="M488" s="47">
        <v>3</v>
      </c>
      <c r="N488" s="47" t="s">
        <v>2467</v>
      </c>
      <c r="O488" s="49"/>
      <c r="P488" s="51"/>
    </row>
    <row r="489" spans="1:16" ht="15.75" thickBot="1">
      <c r="A489" s="50"/>
      <c r="B489" s="50"/>
      <c r="C489" s="52"/>
      <c r="D489" s="50"/>
      <c r="E489" s="48"/>
      <c r="F489" s="48"/>
      <c r="G489" s="48"/>
      <c r="H489" s="48"/>
      <c r="I489" s="38">
        <v>1</v>
      </c>
      <c r="J489" s="48"/>
      <c r="K489" s="48"/>
      <c r="L489" s="48"/>
      <c r="M489" s="48"/>
      <c r="N489" s="48"/>
      <c r="O489" s="50"/>
      <c r="P489" s="52"/>
    </row>
    <row r="490" spans="1:16" ht="15">
      <c r="A490" s="49" t="s">
        <v>2810</v>
      </c>
      <c r="B490" s="49" t="s">
        <v>2811</v>
      </c>
      <c r="C490" s="51" t="s">
        <v>2812</v>
      </c>
      <c r="D490" s="49" t="s">
        <v>2470</v>
      </c>
      <c r="E490" s="47" t="s">
        <v>2813</v>
      </c>
      <c r="F490" s="47" t="s">
        <v>1231</v>
      </c>
      <c r="G490" s="47" t="s">
        <v>4215</v>
      </c>
      <c r="H490" s="47" t="s">
        <v>1232</v>
      </c>
      <c r="I490" s="39">
        <v>7.77</v>
      </c>
      <c r="J490" s="47"/>
      <c r="K490" s="47" t="s">
        <v>2187</v>
      </c>
      <c r="L490" s="47" t="s">
        <v>2202</v>
      </c>
      <c r="M490" s="47">
        <v>2</v>
      </c>
      <c r="N490" s="47"/>
      <c r="O490" s="49"/>
      <c r="P490" s="51"/>
    </row>
    <row r="491" spans="1:16" ht="15.75" thickBot="1">
      <c r="A491" s="50"/>
      <c r="B491" s="50"/>
      <c r="C491" s="52"/>
      <c r="D491" s="50"/>
      <c r="E491" s="48"/>
      <c r="F491" s="48"/>
      <c r="G491" s="48"/>
      <c r="H491" s="48"/>
      <c r="I491" s="38">
        <v>3</v>
      </c>
      <c r="J491" s="48"/>
      <c r="K491" s="48"/>
      <c r="L491" s="48"/>
      <c r="M491" s="48"/>
      <c r="N491" s="48"/>
      <c r="O491" s="50"/>
      <c r="P491" s="52"/>
    </row>
    <row r="492" spans="1:16" ht="15.75" thickBot="1">
      <c r="A492" s="6" t="s">
        <v>2814</v>
      </c>
      <c r="B492" s="10" t="s">
        <v>2121</v>
      </c>
      <c r="C492" s="11" t="s">
        <v>2815</v>
      </c>
      <c r="D492" s="10"/>
      <c r="E492" s="38">
        <v>10</v>
      </c>
      <c r="F492" s="38">
        <v>24</v>
      </c>
      <c r="G492" s="38"/>
      <c r="H492" s="38" t="s">
        <v>502</v>
      </c>
      <c r="I492" s="38" t="s">
        <v>2124</v>
      </c>
      <c r="J492" s="38"/>
      <c r="K492" s="38" t="s">
        <v>2533</v>
      </c>
      <c r="L492" s="38" t="s">
        <v>2194</v>
      </c>
      <c r="M492" s="38">
        <v>1</v>
      </c>
      <c r="N492" s="38"/>
      <c r="O492" s="10"/>
      <c r="P492" s="25" t="str">
        <f>HYPERLINK("http://biade.itrust.de/biade/lpext.dll?f=id&amp;id=biadb%3Ar%3A493242&amp;t=main-h.htm","493242")</f>
        <v>493242</v>
      </c>
    </row>
    <row r="493" spans="1:16" ht="38.25" customHeight="1">
      <c r="A493" s="49" t="s">
        <v>2816</v>
      </c>
      <c r="B493" s="7" t="s">
        <v>1147</v>
      </c>
      <c r="C493" s="51" t="s">
        <v>2818</v>
      </c>
      <c r="D493" s="49" t="s">
        <v>2819</v>
      </c>
      <c r="E493" s="47" t="s">
        <v>2820</v>
      </c>
      <c r="F493" s="47" t="s">
        <v>2821</v>
      </c>
      <c r="G493" s="47"/>
      <c r="H493" s="47" t="s">
        <v>2687</v>
      </c>
      <c r="I493" s="47" t="s">
        <v>2124</v>
      </c>
      <c r="J493" s="47"/>
      <c r="K493" s="47"/>
      <c r="L493" s="47" t="s">
        <v>2136</v>
      </c>
      <c r="M493" s="47">
        <v>2</v>
      </c>
      <c r="N493" s="47"/>
      <c r="O493" s="49"/>
      <c r="P493" s="51"/>
    </row>
    <row r="494" spans="1:16" ht="15.75" thickBot="1">
      <c r="A494" s="50"/>
      <c r="B494" s="10" t="s">
        <v>2817</v>
      </c>
      <c r="C494" s="52"/>
      <c r="D494" s="50"/>
      <c r="E494" s="48"/>
      <c r="F494" s="48"/>
      <c r="G494" s="48"/>
      <c r="H494" s="48"/>
      <c r="I494" s="48"/>
      <c r="J494" s="48"/>
      <c r="K494" s="48"/>
      <c r="L494" s="48"/>
      <c r="M494" s="48"/>
      <c r="N494" s="48"/>
      <c r="O494" s="50"/>
      <c r="P494" s="52"/>
    </row>
    <row r="495" spans="1:16" ht="15">
      <c r="A495" s="49" t="s">
        <v>2822</v>
      </c>
      <c r="B495" s="49" t="s">
        <v>2823</v>
      </c>
      <c r="C495" s="51" t="s">
        <v>2824</v>
      </c>
      <c r="D495" s="49" t="s">
        <v>2802</v>
      </c>
      <c r="E495" s="47" t="s">
        <v>2825</v>
      </c>
      <c r="F495" s="47" t="s">
        <v>2507</v>
      </c>
      <c r="G495" s="47" t="s">
        <v>4074</v>
      </c>
      <c r="H495" s="47" t="s">
        <v>501</v>
      </c>
      <c r="I495" s="39">
        <v>100</v>
      </c>
      <c r="J495" s="47">
        <v>2</v>
      </c>
      <c r="K495" s="47"/>
      <c r="L495" s="47" t="s">
        <v>2202</v>
      </c>
      <c r="M495" s="47">
        <v>2</v>
      </c>
      <c r="N495" s="47"/>
      <c r="O495" s="49"/>
      <c r="P495" s="51"/>
    </row>
    <row r="496" spans="1:16" ht="15.75" thickBot="1">
      <c r="A496" s="50"/>
      <c r="B496" s="50"/>
      <c r="C496" s="52"/>
      <c r="D496" s="50"/>
      <c r="E496" s="48"/>
      <c r="F496" s="48"/>
      <c r="G496" s="48"/>
      <c r="H496" s="48"/>
      <c r="I496" s="38">
        <v>50</v>
      </c>
      <c r="J496" s="48"/>
      <c r="K496" s="48"/>
      <c r="L496" s="48"/>
      <c r="M496" s="48"/>
      <c r="N496" s="48"/>
      <c r="O496" s="50"/>
      <c r="P496" s="52"/>
    </row>
    <row r="497" spans="1:16" ht="15">
      <c r="A497" s="49" t="s">
        <v>2826</v>
      </c>
      <c r="B497" s="49"/>
      <c r="C497" s="51" t="s">
        <v>2827</v>
      </c>
      <c r="D497" s="49" t="s">
        <v>3961</v>
      </c>
      <c r="E497" s="47" t="s">
        <v>2438</v>
      </c>
      <c r="F497" s="47" t="s">
        <v>3528</v>
      </c>
      <c r="G497" s="47"/>
      <c r="H497" s="47" t="s">
        <v>2164</v>
      </c>
      <c r="I497" s="47" t="s">
        <v>2124</v>
      </c>
      <c r="J497" s="47"/>
      <c r="K497" s="47"/>
      <c r="L497" s="47" t="s">
        <v>2194</v>
      </c>
      <c r="M497" s="47">
        <v>2</v>
      </c>
      <c r="N497" s="39" t="s">
        <v>2828</v>
      </c>
      <c r="O497" s="49"/>
      <c r="P497" s="51"/>
    </row>
    <row r="498" spans="1:16" ht="15.75" thickBot="1">
      <c r="A498" s="50"/>
      <c r="B498" s="50"/>
      <c r="C498" s="52"/>
      <c r="D498" s="50"/>
      <c r="E498" s="48"/>
      <c r="F498" s="48"/>
      <c r="G498" s="48"/>
      <c r="H498" s="48"/>
      <c r="I498" s="48"/>
      <c r="J498" s="48"/>
      <c r="K498" s="48"/>
      <c r="L498" s="48"/>
      <c r="M498" s="48"/>
      <c r="N498" s="38" t="s">
        <v>2829</v>
      </c>
      <c r="O498" s="50"/>
      <c r="P498" s="52"/>
    </row>
    <row r="499" spans="1:16" ht="16.5" thickBot="1">
      <c r="A499" s="20" t="s">
        <v>2830</v>
      </c>
      <c r="B499" s="10" t="s">
        <v>2831</v>
      </c>
      <c r="C499" s="11" t="s">
        <v>2832</v>
      </c>
      <c r="D499" s="10" t="s">
        <v>1229</v>
      </c>
      <c r="E499" s="38" t="s">
        <v>2833</v>
      </c>
      <c r="F499" s="38" t="s">
        <v>1231</v>
      </c>
      <c r="G499" s="38" t="s">
        <v>2834</v>
      </c>
      <c r="H499" s="38" t="s">
        <v>1232</v>
      </c>
      <c r="I499" s="38" t="s">
        <v>2124</v>
      </c>
      <c r="J499" s="38"/>
      <c r="K499" s="38" t="s">
        <v>2187</v>
      </c>
      <c r="L499" s="38" t="s">
        <v>2194</v>
      </c>
      <c r="M499" s="38">
        <v>3</v>
      </c>
      <c r="N499" s="38"/>
      <c r="O499" s="10"/>
      <c r="P499" s="25" t="str">
        <f>HYPERLINK("http://biade.itrust.de/biade/lpext.dll?f=id&amp;id=biadb%3Ar%3A023070&amp;t=main-h.htm","23070")</f>
        <v>23070</v>
      </c>
    </row>
    <row r="500" spans="1:16" ht="15">
      <c r="A500" s="49" t="s">
        <v>2835</v>
      </c>
      <c r="B500" s="49" t="s">
        <v>1146</v>
      </c>
      <c r="C500" s="51" t="s">
        <v>2836</v>
      </c>
      <c r="D500" s="49" t="s">
        <v>2513</v>
      </c>
      <c r="E500" s="47" t="s">
        <v>2837</v>
      </c>
      <c r="F500" s="47" t="s">
        <v>3791</v>
      </c>
      <c r="G500" s="47"/>
      <c r="H500" s="47" t="s">
        <v>1282</v>
      </c>
      <c r="I500" s="39">
        <v>3</v>
      </c>
      <c r="J500" s="47">
        <v>2</v>
      </c>
      <c r="K500" s="47" t="s">
        <v>2187</v>
      </c>
      <c r="L500" s="47" t="s">
        <v>2136</v>
      </c>
      <c r="M500" s="47">
        <v>1</v>
      </c>
      <c r="N500" s="47" t="s">
        <v>2838</v>
      </c>
      <c r="O500" s="49"/>
      <c r="P500" s="51"/>
    </row>
    <row r="501" spans="1:16" ht="15.75" thickBot="1">
      <c r="A501" s="50"/>
      <c r="B501" s="50"/>
      <c r="C501" s="52"/>
      <c r="D501" s="50"/>
      <c r="E501" s="48"/>
      <c r="F501" s="48"/>
      <c r="G501" s="48"/>
      <c r="H501" s="48"/>
      <c r="I501" s="38">
        <v>2</v>
      </c>
      <c r="J501" s="48"/>
      <c r="K501" s="48"/>
      <c r="L501" s="48"/>
      <c r="M501" s="48"/>
      <c r="N501" s="48"/>
      <c r="O501" s="50"/>
      <c r="P501" s="52"/>
    </row>
    <row r="502" spans="1:16" ht="15.75" thickBot="1">
      <c r="A502" s="6" t="s">
        <v>2839</v>
      </c>
      <c r="B502" s="10" t="s">
        <v>2121</v>
      </c>
      <c r="C502" s="11" t="s">
        <v>2840</v>
      </c>
      <c r="D502" s="10"/>
      <c r="E502" s="38"/>
      <c r="F502" s="38" t="s">
        <v>3856</v>
      </c>
      <c r="G502" s="38"/>
      <c r="H502" s="38" t="s">
        <v>2123</v>
      </c>
      <c r="I502" s="38" t="s">
        <v>2124</v>
      </c>
      <c r="J502" s="38"/>
      <c r="K502" s="38"/>
      <c r="L502" s="38" t="s">
        <v>2125</v>
      </c>
      <c r="M502" s="38">
        <v>1</v>
      </c>
      <c r="N502" s="38"/>
      <c r="O502" s="10"/>
      <c r="P502" s="25" t="str">
        <f>HYPERLINK("http://biade.itrust.de/biade/lpext.dll?f=id&amp;id=biadb%3Ar%3A036750&amp;t=main-h.htm","36750")</f>
        <v>36750</v>
      </c>
    </row>
    <row r="503" spans="1:16" ht="15">
      <c r="A503" s="5" t="s">
        <v>2841</v>
      </c>
      <c r="B503" s="49" t="s">
        <v>2121</v>
      </c>
      <c r="C503" s="51" t="s">
        <v>2843</v>
      </c>
      <c r="D503" s="49" t="s">
        <v>2128</v>
      </c>
      <c r="E503" s="47">
        <v>22</v>
      </c>
      <c r="F503" s="47" t="s">
        <v>4026</v>
      </c>
      <c r="G503" s="47"/>
      <c r="H503" s="47" t="s">
        <v>2718</v>
      </c>
      <c r="I503" s="39" t="s">
        <v>2844</v>
      </c>
      <c r="J503" s="47" t="s">
        <v>1270</v>
      </c>
      <c r="K503" s="47" t="s">
        <v>2188</v>
      </c>
      <c r="L503" s="47" t="s">
        <v>2136</v>
      </c>
      <c r="M503" s="47">
        <v>2</v>
      </c>
      <c r="N503" s="47"/>
      <c r="O503" s="49"/>
      <c r="P503" s="51"/>
    </row>
    <row r="504" spans="1:16" ht="15.75" thickBot="1">
      <c r="A504" s="6" t="s">
        <v>2842</v>
      </c>
      <c r="B504" s="50"/>
      <c r="C504" s="52"/>
      <c r="D504" s="50"/>
      <c r="E504" s="48"/>
      <c r="F504" s="48"/>
      <c r="G504" s="48"/>
      <c r="H504" s="48"/>
      <c r="I504" s="38" t="s">
        <v>2124</v>
      </c>
      <c r="J504" s="48"/>
      <c r="K504" s="48"/>
      <c r="L504" s="48"/>
      <c r="M504" s="48"/>
      <c r="N504" s="48"/>
      <c r="O504" s="50"/>
      <c r="P504" s="52"/>
    </row>
    <row r="505" spans="1:16" ht="15.75" thickBot="1">
      <c r="A505" s="6" t="s">
        <v>2845</v>
      </c>
      <c r="B505" s="10"/>
      <c r="C505" s="11" t="s">
        <v>2846</v>
      </c>
      <c r="D505" s="10" t="s">
        <v>2847</v>
      </c>
      <c r="E505" s="38" t="s">
        <v>2848</v>
      </c>
      <c r="F505" s="38" t="s">
        <v>2154</v>
      </c>
      <c r="G505" s="38" t="s">
        <v>2155</v>
      </c>
      <c r="H505" s="38" t="s">
        <v>1232</v>
      </c>
      <c r="I505" s="38" t="s">
        <v>2124</v>
      </c>
      <c r="J505" s="38"/>
      <c r="K505" s="38" t="s">
        <v>2187</v>
      </c>
      <c r="L505" s="38" t="s">
        <v>2187</v>
      </c>
      <c r="M505" s="38" t="s">
        <v>2849</v>
      </c>
      <c r="N505" s="38"/>
      <c r="O505" s="10"/>
      <c r="P505" s="11"/>
    </row>
    <row r="506" spans="1:16" ht="15">
      <c r="A506" s="5" t="s">
        <v>2850</v>
      </c>
      <c r="B506" s="49" t="s">
        <v>2121</v>
      </c>
      <c r="C506" s="51" t="s">
        <v>2852</v>
      </c>
      <c r="D506" s="49" t="s">
        <v>2141</v>
      </c>
      <c r="E506" s="47" t="s">
        <v>3888</v>
      </c>
      <c r="F506" s="47">
        <v>26</v>
      </c>
      <c r="G506" s="47"/>
      <c r="H506" s="47" t="s">
        <v>2687</v>
      </c>
      <c r="I506" s="39" t="s">
        <v>2844</v>
      </c>
      <c r="J506" s="47" t="s">
        <v>2853</v>
      </c>
      <c r="K506" s="47"/>
      <c r="L506" s="47" t="s">
        <v>2136</v>
      </c>
      <c r="M506" s="47">
        <v>2</v>
      </c>
      <c r="N506" s="47"/>
      <c r="O506" s="49"/>
      <c r="P506" s="51"/>
    </row>
    <row r="507" spans="1:16" ht="15.75" thickBot="1">
      <c r="A507" s="6" t="s">
        <v>2851</v>
      </c>
      <c r="B507" s="50"/>
      <c r="C507" s="52"/>
      <c r="D507" s="50"/>
      <c r="E507" s="48"/>
      <c r="F507" s="48"/>
      <c r="G507" s="48"/>
      <c r="H507" s="48"/>
      <c r="I507" s="38" t="s">
        <v>2124</v>
      </c>
      <c r="J507" s="48"/>
      <c r="K507" s="48"/>
      <c r="L507" s="48"/>
      <c r="M507" s="48"/>
      <c r="N507" s="48"/>
      <c r="O507" s="50"/>
      <c r="P507" s="52"/>
    </row>
    <row r="508" spans="1:16" ht="15">
      <c r="A508" s="49" t="s">
        <v>2854</v>
      </c>
      <c r="B508" s="49" t="s">
        <v>2121</v>
      </c>
      <c r="C508" s="51" t="s">
        <v>2855</v>
      </c>
      <c r="D508" s="49"/>
      <c r="E508" s="47"/>
      <c r="F508" s="47"/>
      <c r="G508" s="47"/>
      <c r="H508" s="47" t="s">
        <v>2123</v>
      </c>
      <c r="I508" s="39" t="s">
        <v>2844</v>
      </c>
      <c r="J508" s="47" t="s">
        <v>2853</v>
      </c>
      <c r="K508" s="47"/>
      <c r="L508" s="47" t="s">
        <v>2125</v>
      </c>
      <c r="M508" s="47" t="s">
        <v>2221</v>
      </c>
      <c r="N508" s="47"/>
      <c r="O508" s="49"/>
      <c r="P508" s="51"/>
    </row>
    <row r="509" spans="1:16" ht="15.75" thickBot="1">
      <c r="A509" s="50"/>
      <c r="B509" s="50"/>
      <c r="C509" s="52"/>
      <c r="D509" s="50"/>
      <c r="E509" s="48"/>
      <c r="F509" s="48"/>
      <c r="G509" s="48"/>
      <c r="H509" s="48"/>
      <c r="I509" s="38" t="s">
        <v>2124</v>
      </c>
      <c r="J509" s="48"/>
      <c r="K509" s="48"/>
      <c r="L509" s="48"/>
      <c r="M509" s="48"/>
      <c r="N509" s="48"/>
      <c r="O509" s="50"/>
      <c r="P509" s="52"/>
    </row>
    <row r="510" spans="1:16" ht="15.75" thickBot="1">
      <c r="A510" s="6" t="s">
        <v>2856</v>
      </c>
      <c r="B510" s="10" t="s">
        <v>1248</v>
      </c>
      <c r="C510" s="11" t="s">
        <v>2857</v>
      </c>
      <c r="D510" s="10" t="s">
        <v>2227</v>
      </c>
      <c r="E510" s="38" t="s">
        <v>3950</v>
      </c>
      <c r="F510" s="38" t="s">
        <v>3884</v>
      </c>
      <c r="G510" s="38"/>
      <c r="H510" s="38" t="s">
        <v>2687</v>
      </c>
      <c r="I510" s="38" t="s">
        <v>2124</v>
      </c>
      <c r="J510" s="38"/>
      <c r="K510" s="38"/>
      <c r="L510" s="38" t="s">
        <v>2136</v>
      </c>
      <c r="M510" s="38">
        <v>2</v>
      </c>
      <c r="N510" s="38" t="s">
        <v>2858</v>
      </c>
      <c r="O510" s="10"/>
      <c r="P510" s="11"/>
    </row>
    <row r="511" spans="1:16" ht="26.25" thickBot="1">
      <c r="A511" s="6" t="s">
        <v>2859</v>
      </c>
      <c r="B511" s="10" t="s">
        <v>2121</v>
      </c>
      <c r="C511" s="11" t="s">
        <v>2860</v>
      </c>
      <c r="D511" s="10" t="s">
        <v>2861</v>
      </c>
      <c r="E511" s="38" t="s">
        <v>2862</v>
      </c>
      <c r="F511" s="38" t="s">
        <v>2154</v>
      </c>
      <c r="G511" s="38" t="s">
        <v>2863</v>
      </c>
      <c r="H511" s="38" t="s">
        <v>1232</v>
      </c>
      <c r="I511" s="38" t="s">
        <v>2124</v>
      </c>
      <c r="J511" s="38"/>
      <c r="K511" s="38" t="s">
        <v>2187</v>
      </c>
      <c r="L511" s="38" t="s">
        <v>2158</v>
      </c>
      <c r="M511" s="38">
        <v>3</v>
      </c>
      <c r="N511" s="38"/>
      <c r="O511" s="10"/>
      <c r="P511" s="25" t="str">
        <f>HYPERLINK("http://biade.itrust.de/biade/lpext.dll?f=id&amp;id=biadb%3Ar%3A002300&amp;t=main-h.htm","2300")</f>
        <v>2300</v>
      </c>
    </row>
    <row r="512" spans="1:16" ht="15">
      <c r="A512" s="5" t="s">
        <v>2864</v>
      </c>
      <c r="B512" s="49" t="s">
        <v>2121</v>
      </c>
      <c r="C512" s="51" t="s">
        <v>2866</v>
      </c>
      <c r="D512" s="49"/>
      <c r="E512" s="47"/>
      <c r="F512" s="47"/>
      <c r="G512" s="47"/>
      <c r="H512" s="47" t="s">
        <v>2123</v>
      </c>
      <c r="I512" s="39" t="s">
        <v>2844</v>
      </c>
      <c r="J512" s="47" t="s">
        <v>1270</v>
      </c>
      <c r="K512" s="47"/>
      <c r="L512" s="47" t="s">
        <v>2125</v>
      </c>
      <c r="M512" s="47" t="s">
        <v>2221</v>
      </c>
      <c r="N512" s="47"/>
      <c r="O512" s="49"/>
      <c r="P512" s="51"/>
    </row>
    <row r="513" spans="1:16" ht="15.75" thickBot="1">
      <c r="A513" s="6" t="s">
        <v>2865</v>
      </c>
      <c r="B513" s="50"/>
      <c r="C513" s="52"/>
      <c r="D513" s="50"/>
      <c r="E513" s="48"/>
      <c r="F513" s="48"/>
      <c r="G513" s="48"/>
      <c r="H513" s="48"/>
      <c r="I513" s="38" t="s">
        <v>2124</v>
      </c>
      <c r="J513" s="48"/>
      <c r="K513" s="48"/>
      <c r="L513" s="48"/>
      <c r="M513" s="48"/>
      <c r="N513" s="48"/>
      <c r="O513" s="50"/>
      <c r="P513" s="52"/>
    </row>
    <row r="514" spans="1:16" ht="26.25" thickBot="1">
      <c r="A514" s="6" t="s">
        <v>940</v>
      </c>
      <c r="B514" s="10"/>
      <c r="C514" s="11" t="s">
        <v>2867</v>
      </c>
      <c r="D514" s="10" t="s">
        <v>2861</v>
      </c>
      <c r="E514" s="38" t="s">
        <v>2862</v>
      </c>
      <c r="F514" s="38" t="s">
        <v>2154</v>
      </c>
      <c r="G514" s="38" t="s">
        <v>2868</v>
      </c>
      <c r="H514" s="38" t="s">
        <v>689</v>
      </c>
      <c r="I514" s="38" t="s">
        <v>2124</v>
      </c>
      <c r="J514" s="38"/>
      <c r="K514" s="38" t="s">
        <v>2189</v>
      </c>
      <c r="L514" s="38" t="s">
        <v>2136</v>
      </c>
      <c r="M514" s="38">
        <v>3</v>
      </c>
      <c r="N514" s="38"/>
      <c r="O514" s="10"/>
      <c r="P514" s="25" t="str">
        <f>HYPERLINK("http://biade.itrust.de/biade/lpext.dll?f=id&amp;id=biadb%3Ar%3A500118&amp;t=main-h.htm","500118")</f>
        <v>500118</v>
      </c>
    </row>
    <row r="515" spans="1:16" ht="15">
      <c r="A515" s="5" t="s">
        <v>2869</v>
      </c>
      <c r="B515" s="49" t="s">
        <v>2121</v>
      </c>
      <c r="C515" s="51" t="s">
        <v>2871</v>
      </c>
      <c r="D515" s="49" t="s">
        <v>2134</v>
      </c>
      <c r="E515" s="47">
        <v>36</v>
      </c>
      <c r="F515" s="47">
        <v>26</v>
      </c>
      <c r="G515" s="47"/>
      <c r="H515" s="47" t="s">
        <v>2164</v>
      </c>
      <c r="I515" s="47" t="s">
        <v>2124</v>
      </c>
      <c r="J515" s="47"/>
      <c r="K515" s="47"/>
      <c r="L515" s="47" t="s">
        <v>2125</v>
      </c>
      <c r="M515" s="47">
        <v>1</v>
      </c>
      <c r="N515" s="47" t="s">
        <v>1252</v>
      </c>
      <c r="O515" s="49"/>
      <c r="P515" s="51"/>
    </row>
    <row r="516" spans="1:16" ht="15.75" thickBot="1">
      <c r="A516" s="6" t="s">
        <v>2870</v>
      </c>
      <c r="B516" s="50"/>
      <c r="C516" s="52"/>
      <c r="D516" s="50"/>
      <c r="E516" s="48"/>
      <c r="F516" s="48"/>
      <c r="G516" s="48"/>
      <c r="H516" s="48"/>
      <c r="I516" s="48"/>
      <c r="J516" s="48"/>
      <c r="K516" s="48"/>
      <c r="L516" s="48"/>
      <c r="M516" s="48"/>
      <c r="N516" s="48"/>
      <c r="O516" s="50"/>
      <c r="P516" s="52"/>
    </row>
    <row r="517" spans="1:16" ht="15">
      <c r="A517" s="5" t="s">
        <v>2872</v>
      </c>
      <c r="B517" s="49"/>
      <c r="C517" s="51" t="s">
        <v>2873</v>
      </c>
      <c r="D517" s="49" t="s">
        <v>2128</v>
      </c>
      <c r="E517" s="47" t="s">
        <v>2874</v>
      </c>
      <c r="F517" s="47" t="s">
        <v>2875</v>
      </c>
      <c r="G517" s="47" t="s">
        <v>2876</v>
      </c>
      <c r="H517" s="47" t="s">
        <v>2877</v>
      </c>
      <c r="I517" s="47" t="s">
        <v>2124</v>
      </c>
      <c r="J517" s="47"/>
      <c r="K517" s="47"/>
      <c r="L517" s="47" t="s">
        <v>2136</v>
      </c>
      <c r="M517" s="47" t="s">
        <v>2878</v>
      </c>
      <c r="N517" s="47"/>
      <c r="O517" s="49"/>
      <c r="P517" s="51"/>
    </row>
    <row r="518" spans="1:16" ht="15.75" thickBot="1">
      <c r="A518" s="6" t="s">
        <v>2865</v>
      </c>
      <c r="B518" s="50"/>
      <c r="C518" s="52"/>
      <c r="D518" s="50"/>
      <c r="E518" s="48"/>
      <c r="F518" s="48"/>
      <c r="G518" s="48"/>
      <c r="H518" s="48"/>
      <c r="I518" s="48"/>
      <c r="J518" s="48"/>
      <c r="K518" s="48"/>
      <c r="L518" s="48"/>
      <c r="M518" s="48"/>
      <c r="N518" s="48"/>
      <c r="O518" s="50"/>
      <c r="P518" s="52"/>
    </row>
    <row r="519" spans="1:16" ht="15" customHeight="1">
      <c r="A519" s="49" t="s">
        <v>2879</v>
      </c>
      <c r="B519" s="49" t="s">
        <v>2121</v>
      </c>
      <c r="C519" s="8" t="s">
        <v>3971</v>
      </c>
      <c r="D519" s="49" t="s">
        <v>2152</v>
      </c>
      <c r="E519" s="47" t="s">
        <v>2882</v>
      </c>
      <c r="F519" s="47" t="s">
        <v>2154</v>
      </c>
      <c r="G519" s="47" t="s">
        <v>2883</v>
      </c>
      <c r="H519" s="47" t="s">
        <v>2567</v>
      </c>
      <c r="I519" s="47" t="s">
        <v>2124</v>
      </c>
      <c r="J519" s="47"/>
      <c r="K519" s="47" t="s">
        <v>2157</v>
      </c>
      <c r="L519" s="47" t="s">
        <v>2136</v>
      </c>
      <c r="M519" s="47">
        <v>2</v>
      </c>
      <c r="N519" s="47"/>
      <c r="O519" s="49"/>
      <c r="P519" s="8"/>
    </row>
    <row r="520" spans="1:16" ht="15">
      <c r="A520" s="56"/>
      <c r="B520" s="56"/>
      <c r="C520" s="8" t="s">
        <v>2880</v>
      </c>
      <c r="D520" s="56"/>
      <c r="E520" s="55"/>
      <c r="F520" s="55"/>
      <c r="G520" s="55"/>
      <c r="H520" s="55"/>
      <c r="I520" s="55"/>
      <c r="J520" s="55"/>
      <c r="K520" s="55"/>
      <c r="L520" s="55"/>
      <c r="M520" s="55"/>
      <c r="N520" s="55"/>
      <c r="O520" s="56"/>
      <c r="P520" s="36" t="str">
        <f>HYPERLINK("http://biade.itrust.de/biade/lpext.dll?f=id&amp;id=biadb%3Ar%3A002590&amp;t=main-h.htm","2590")</f>
        <v>2590</v>
      </c>
    </row>
    <row r="521" spans="1:16" ht="23.25" thickBot="1">
      <c r="A521" s="50"/>
      <c r="B521" s="50"/>
      <c r="C521" s="11" t="s">
        <v>2881</v>
      </c>
      <c r="D521" s="50"/>
      <c r="E521" s="48"/>
      <c r="F521" s="48"/>
      <c r="G521" s="48"/>
      <c r="H521" s="48"/>
      <c r="I521" s="48"/>
      <c r="J521" s="48"/>
      <c r="K521" s="48"/>
      <c r="L521" s="48"/>
      <c r="M521" s="48"/>
      <c r="N521" s="48"/>
      <c r="O521" s="50"/>
      <c r="P521" s="25" t="str">
        <f>HYPERLINK("http://biade.itrust.de/biade/lpext.dll?f=id&amp;id=biadb%3Ar%3A002590&amp;t=main-h.htm","2590")</f>
        <v>2590</v>
      </c>
    </row>
    <row r="522" spans="1:16" ht="23.25" thickBot="1">
      <c r="A522" s="6" t="s">
        <v>2884</v>
      </c>
      <c r="B522" s="10" t="s">
        <v>2121</v>
      </c>
      <c r="C522" s="11" t="s">
        <v>2885</v>
      </c>
      <c r="D522" s="10" t="s">
        <v>2152</v>
      </c>
      <c r="E522" s="38" t="s">
        <v>2886</v>
      </c>
      <c r="F522" s="38" t="s">
        <v>2154</v>
      </c>
      <c r="G522" s="38" t="s">
        <v>2883</v>
      </c>
      <c r="H522" s="38" t="s">
        <v>2567</v>
      </c>
      <c r="I522" s="38" t="s">
        <v>2124</v>
      </c>
      <c r="J522" s="38"/>
      <c r="K522" s="38" t="s">
        <v>2157</v>
      </c>
      <c r="L522" s="38" t="s">
        <v>2136</v>
      </c>
      <c r="M522" s="38">
        <v>2</v>
      </c>
      <c r="N522" s="38"/>
      <c r="O522" s="10"/>
      <c r="P522" s="25" t="str">
        <f>HYPERLINK("http://biade.itrust.de/biade/lpext.dll?f=id&amp;id=biadb%3Ar%3A005340&amp;t=main-h.htm","5340")</f>
        <v>5340</v>
      </c>
    </row>
    <row r="523" spans="1:16" ht="15.75" thickBot="1">
      <c r="A523" s="6" t="s">
        <v>2887</v>
      </c>
      <c r="B523" s="10"/>
      <c r="C523" s="11" t="s">
        <v>2888</v>
      </c>
      <c r="D523" s="10" t="s">
        <v>2128</v>
      </c>
      <c r="E523" s="38" t="s">
        <v>2889</v>
      </c>
      <c r="F523" s="38" t="s">
        <v>3219</v>
      </c>
      <c r="G523" s="38" t="s">
        <v>2876</v>
      </c>
      <c r="H523" s="38" t="s">
        <v>1282</v>
      </c>
      <c r="I523" s="38" t="s">
        <v>2124</v>
      </c>
      <c r="J523" s="38"/>
      <c r="K523" s="38"/>
      <c r="L523" s="38" t="s">
        <v>2136</v>
      </c>
      <c r="M523" s="38">
        <v>1</v>
      </c>
      <c r="N523" s="38"/>
      <c r="O523" s="10"/>
      <c r="P523" s="25" t="str">
        <f>HYPERLINK("http://biade.itrust.de/biade/lpext.dll?f=id&amp;id=biadb%3Ar%3A500063&amp;t=main-h.htm","500063")</f>
        <v>500063</v>
      </c>
    </row>
    <row r="524" spans="1:16" ht="15" customHeight="1">
      <c r="A524" s="5" t="s">
        <v>2890</v>
      </c>
      <c r="B524" s="49" t="s">
        <v>2121</v>
      </c>
      <c r="C524" s="51" t="s">
        <v>2892</v>
      </c>
      <c r="D524" s="49" t="s">
        <v>2152</v>
      </c>
      <c r="E524" s="47" t="s">
        <v>2886</v>
      </c>
      <c r="F524" s="47" t="s">
        <v>2154</v>
      </c>
      <c r="G524" s="47" t="s">
        <v>2883</v>
      </c>
      <c r="H524" s="47" t="s">
        <v>1232</v>
      </c>
      <c r="I524" s="47" t="s">
        <v>2124</v>
      </c>
      <c r="J524" s="47"/>
      <c r="K524" s="47" t="s">
        <v>2187</v>
      </c>
      <c r="L524" s="47" t="s">
        <v>2136</v>
      </c>
      <c r="M524" s="47">
        <v>3</v>
      </c>
      <c r="N524" s="47"/>
      <c r="O524" s="49"/>
      <c r="P524" s="51"/>
    </row>
    <row r="525" spans="1:16" ht="15.75" thickBot="1">
      <c r="A525" s="6" t="s">
        <v>2891</v>
      </c>
      <c r="B525" s="50"/>
      <c r="C525" s="52"/>
      <c r="D525" s="50"/>
      <c r="E525" s="48"/>
      <c r="F525" s="48"/>
      <c r="G525" s="48"/>
      <c r="H525" s="48"/>
      <c r="I525" s="48"/>
      <c r="J525" s="48"/>
      <c r="K525" s="48"/>
      <c r="L525" s="48"/>
      <c r="M525" s="48"/>
      <c r="N525" s="48"/>
      <c r="O525" s="50"/>
      <c r="P525" s="52"/>
    </row>
    <row r="526" spans="1:16" ht="15" customHeight="1">
      <c r="A526" s="5" t="s">
        <v>2893</v>
      </c>
      <c r="B526" s="49"/>
      <c r="C526" s="51" t="s">
        <v>2894</v>
      </c>
      <c r="D526" s="49" t="s">
        <v>2152</v>
      </c>
      <c r="E526" s="47" t="s">
        <v>2882</v>
      </c>
      <c r="F526" s="47" t="s">
        <v>2154</v>
      </c>
      <c r="G526" s="47" t="s">
        <v>2895</v>
      </c>
      <c r="H526" s="47" t="s">
        <v>1232</v>
      </c>
      <c r="I526" s="47" t="s">
        <v>2124</v>
      </c>
      <c r="J526" s="47"/>
      <c r="K526" s="47" t="s">
        <v>2187</v>
      </c>
      <c r="L526" s="47" t="s">
        <v>2136</v>
      </c>
      <c r="M526" s="47">
        <v>2</v>
      </c>
      <c r="N526" s="47"/>
      <c r="O526" s="49"/>
      <c r="P526" s="51"/>
    </row>
    <row r="527" spans="1:16" ht="15.75" thickBot="1">
      <c r="A527" s="6" t="s">
        <v>2716</v>
      </c>
      <c r="B527" s="50"/>
      <c r="C527" s="52"/>
      <c r="D527" s="50"/>
      <c r="E527" s="48"/>
      <c r="F527" s="48"/>
      <c r="G527" s="48"/>
      <c r="H527" s="48"/>
      <c r="I527" s="48"/>
      <c r="J527" s="48"/>
      <c r="K527" s="48"/>
      <c r="L527" s="48"/>
      <c r="M527" s="48"/>
      <c r="N527" s="48"/>
      <c r="O527" s="50"/>
      <c r="P527" s="52"/>
    </row>
    <row r="528" spans="1:16" ht="15">
      <c r="A528" s="5" t="s">
        <v>2896</v>
      </c>
      <c r="B528" s="49"/>
      <c r="C528" s="51" t="s">
        <v>2897</v>
      </c>
      <c r="D528" s="49" t="s">
        <v>2128</v>
      </c>
      <c r="E528" s="47">
        <v>22</v>
      </c>
      <c r="F528" s="47"/>
      <c r="G528" s="47"/>
      <c r="H528" s="47" t="s">
        <v>2687</v>
      </c>
      <c r="I528" s="47" t="s">
        <v>2124</v>
      </c>
      <c r="J528" s="47"/>
      <c r="K528" s="47"/>
      <c r="L528" s="47" t="s">
        <v>2165</v>
      </c>
      <c r="M528" s="47"/>
      <c r="N528" s="47" t="s">
        <v>2144</v>
      </c>
      <c r="O528" s="49"/>
      <c r="P528" s="51"/>
    </row>
    <row r="529" spans="1:16" ht="15.75" thickBot="1">
      <c r="A529" s="6" t="s">
        <v>2160</v>
      </c>
      <c r="B529" s="50"/>
      <c r="C529" s="52"/>
      <c r="D529" s="50"/>
      <c r="E529" s="48"/>
      <c r="F529" s="48"/>
      <c r="G529" s="48"/>
      <c r="H529" s="48"/>
      <c r="I529" s="48"/>
      <c r="J529" s="48"/>
      <c r="K529" s="48"/>
      <c r="L529" s="48"/>
      <c r="M529" s="48"/>
      <c r="N529" s="48"/>
      <c r="O529" s="50"/>
      <c r="P529" s="52"/>
    </row>
    <row r="530" spans="1:16" ht="15.75" thickBot="1">
      <c r="A530" s="6" t="s">
        <v>2898</v>
      </c>
      <c r="B530" s="10"/>
      <c r="C530" s="11" t="s">
        <v>2899</v>
      </c>
      <c r="D530" s="10" t="s">
        <v>4010</v>
      </c>
      <c r="E530" s="38" t="s">
        <v>2900</v>
      </c>
      <c r="F530" s="38" t="s">
        <v>1231</v>
      </c>
      <c r="G530" s="38"/>
      <c r="H530" s="38" t="s">
        <v>2901</v>
      </c>
      <c r="I530" s="38" t="s">
        <v>2124</v>
      </c>
      <c r="J530" s="38"/>
      <c r="K530" s="38" t="s">
        <v>2157</v>
      </c>
      <c r="L530" s="38" t="s">
        <v>2165</v>
      </c>
      <c r="M530" s="38">
        <v>3</v>
      </c>
      <c r="N530" s="38" t="s">
        <v>2467</v>
      </c>
      <c r="O530" s="10"/>
      <c r="P530" s="25" t="str">
        <f>HYPERLINK("http://biade.itrust.de/biade/lpext.dll?f=id&amp;id=biadb%3Ar%3A510124&amp;t=main-h.htm","510124")</f>
        <v>510124</v>
      </c>
    </row>
    <row r="531" spans="1:16" ht="15">
      <c r="A531" s="53" t="s">
        <v>2902</v>
      </c>
      <c r="B531" s="7" t="s">
        <v>1145</v>
      </c>
      <c r="C531" s="51" t="s">
        <v>2903</v>
      </c>
      <c r="D531" s="49" t="s">
        <v>2128</v>
      </c>
      <c r="E531" s="47" t="s">
        <v>2904</v>
      </c>
      <c r="F531" s="47" t="s">
        <v>3987</v>
      </c>
      <c r="G531" s="47"/>
      <c r="H531" s="47" t="s">
        <v>2687</v>
      </c>
      <c r="I531" s="47" t="s">
        <v>2124</v>
      </c>
      <c r="J531" s="47"/>
      <c r="K531" s="47" t="s">
        <v>2533</v>
      </c>
      <c r="L531" s="47" t="s">
        <v>2165</v>
      </c>
      <c r="M531" s="47">
        <v>2</v>
      </c>
      <c r="N531" s="47"/>
      <c r="O531" s="49"/>
      <c r="P531" s="51"/>
    </row>
    <row r="532" spans="1:16" ht="15.75" thickBot="1">
      <c r="A532" s="54"/>
      <c r="B532" s="10" t="s">
        <v>1262</v>
      </c>
      <c r="C532" s="52"/>
      <c r="D532" s="50"/>
      <c r="E532" s="48"/>
      <c r="F532" s="48"/>
      <c r="G532" s="48"/>
      <c r="H532" s="48"/>
      <c r="I532" s="48"/>
      <c r="J532" s="48"/>
      <c r="K532" s="48"/>
      <c r="L532" s="48"/>
      <c r="M532" s="48"/>
      <c r="N532" s="48"/>
      <c r="O532" s="50"/>
      <c r="P532" s="52"/>
    </row>
    <row r="533" spans="1:16" ht="15.75" thickBot="1">
      <c r="A533" s="6" t="s">
        <v>2905</v>
      </c>
      <c r="B533" s="18" t="s">
        <v>2906</v>
      </c>
      <c r="C533" s="11" t="s">
        <v>2907</v>
      </c>
      <c r="D533" s="10" t="s">
        <v>2134</v>
      </c>
      <c r="E533" s="38" t="s">
        <v>2162</v>
      </c>
      <c r="F533" s="38" t="s">
        <v>2908</v>
      </c>
      <c r="G533" s="38"/>
      <c r="H533" s="38" t="s">
        <v>2687</v>
      </c>
      <c r="I533" s="38" t="s">
        <v>2124</v>
      </c>
      <c r="J533" s="38"/>
      <c r="K533" s="38"/>
      <c r="L533" s="38" t="s">
        <v>2165</v>
      </c>
      <c r="M533" s="38">
        <v>1</v>
      </c>
      <c r="N533" s="38"/>
      <c r="O533" s="10"/>
      <c r="P533" s="25" t="str">
        <f>HYPERLINK("http://biade.itrust.de/biade/lpext.dll?f=id&amp;id=biadb%3Ar%3A037910&amp;t=main-h.htm","37910")</f>
        <v>37910</v>
      </c>
    </row>
    <row r="534" spans="1:16" ht="15">
      <c r="A534" s="49" t="s">
        <v>2909</v>
      </c>
      <c r="B534" s="49" t="s">
        <v>2910</v>
      </c>
      <c r="C534" s="51" t="s">
        <v>2911</v>
      </c>
      <c r="D534" s="49" t="s">
        <v>3961</v>
      </c>
      <c r="E534" s="47" t="s">
        <v>2912</v>
      </c>
      <c r="F534" s="47" t="s">
        <v>2913</v>
      </c>
      <c r="G534" s="47" t="s">
        <v>2183</v>
      </c>
      <c r="H534" s="47" t="s">
        <v>2687</v>
      </c>
      <c r="I534" s="39">
        <v>100</v>
      </c>
      <c r="J534" s="47">
        <v>2.5</v>
      </c>
      <c r="K534" s="47" t="s">
        <v>2533</v>
      </c>
      <c r="L534" s="47" t="s">
        <v>2130</v>
      </c>
      <c r="M534" s="47">
        <v>1</v>
      </c>
      <c r="N534" s="47"/>
      <c r="O534" s="49"/>
      <c r="P534" s="51"/>
    </row>
    <row r="535" spans="1:16" ht="15.75" thickBot="1">
      <c r="A535" s="50"/>
      <c r="B535" s="50"/>
      <c r="C535" s="52"/>
      <c r="D535" s="50"/>
      <c r="E535" s="48"/>
      <c r="F535" s="48"/>
      <c r="G535" s="48"/>
      <c r="H535" s="48"/>
      <c r="I535" s="38">
        <v>20</v>
      </c>
      <c r="J535" s="48"/>
      <c r="K535" s="48"/>
      <c r="L535" s="48"/>
      <c r="M535" s="48"/>
      <c r="N535" s="48"/>
      <c r="O535" s="50"/>
      <c r="P535" s="52"/>
    </row>
    <row r="536" spans="1:16" ht="26.25" thickBot="1">
      <c r="A536" s="6" t="s">
        <v>2914</v>
      </c>
      <c r="B536" s="12" t="s">
        <v>1144</v>
      </c>
      <c r="C536" s="11" t="s">
        <v>2915</v>
      </c>
      <c r="D536" s="10" t="s">
        <v>2916</v>
      </c>
      <c r="E536" s="38" t="s">
        <v>2917</v>
      </c>
      <c r="F536" s="38" t="s">
        <v>2918</v>
      </c>
      <c r="G536" s="38" t="s">
        <v>2183</v>
      </c>
      <c r="H536" s="38" t="s">
        <v>1282</v>
      </c>
      <c r="I536" s="38" t="s">
        <v>2124</v>
      </c>
      <c r="J536" s="38"/>
      <c r="K536" s="38" t="s">
        <v>2919</v>
      </c>
      <c r="L536" s="38" t="s">
        <v>2130</v>
      </c>
      <c r="M536" s="38">
        <v>2</v>
      </c>
      <c r="N536" s="38" t="s">
        <v>170</v>
      </c>
      <c r="O536" s="10"/>
      <c r="P536" s="25" t="str">
        <f>HYPERLINK("http://biade.itrust.de/biade/lpext.dll?f=id&amp;id=biadb%3Ar%3A033600&amp;t=main-h.htm","33600")</f>
        <v>33600</v>
      </c>
    </row>
    <row r="537" spans="1:16" ht="15.75" thickBot="1">
      <c r="A537" s="6" t="s">
        <v>2920</v>
      </c>
      <c r="B537" s="10"/>
      <c r="C537" s="11" t="s">
        <v>2921</v>
      </c>
      <c r="D537" s="10" t="s">
        <v>4130</v>
      </c>
      <c r="E537" s="38" t="s">
        <v>2922</v>
      </c>
      <c r="F537" s="38" t="s">
        <v>2923</v>
      </c>
      <c r="G537" s="38" t="s">
        <v>2183</v>
      </c>
      <c r="H537" s="38" t="s">
        <v>2901</v>
      </c>
      <c r="I537" s="38" t="s">
        <v>2124</v>
      </c>
      <c r="J537" s="38"/>
      <c r="K537" s="38" t="s">
        <v>2187</v>
      </c>
      <c r="L537" s="38" t="s">
        <v>2208</v>
      </c>
      <c r="M537" s="38">
        <v>3</v>
      </c>
      <c r="N537" s="38"/>
      <c r="O537" s="10"/>
      <c r="P537" s="25" t="str">
        <f>HYPERLINK("http://biade.itrust.de/biade/lpext.dll?f=id&amp;id=biadb%3Ar%3A012450&amp;t=main-h.htm","12450")</f>
        <v>12450</v>
      </c>
    </row>
    <row r="538" spans="1:16" ht="15.75" thickBot="1">
      <c r="A538" s="6" t="s">
        <v>2924</v>
      </c>
      <c r="B538" s="10" t="s">
        <v>2925</v>
      </c>
      <c r="C538" s="11" t="s">
        <v>2921</v>
      </c>
      <c r="D538" s="10" t="s">
        <v>828</v>
      </c>
      <c r="E538" s="38" t="s">
        <v>2926</v>
      </c>
      <c r="F538" s="38" t="s">
        <v>2923</v>
      </c>
      <c r="G538" s="38" t="s">
        <v>2183</v>
      </c>
      <c r="H538" s="38" t="s">
        <v>2901</v>
      </c>
      <c r="I538" s="38" t="s">
        <v>2124</v>
      </c>
      <c r="J538" s="38"/>
      <c r="K538" s="38" t="s">
        <v>2189</v>
      </c>
      <c r="L538" s="38" t="s">
        <v>2208</v>
      </c>
      <c r="M538" s="38">
        <v>3</v>
      </c>
      <c r="N538" s="38" t="s">
        <v>2927</v>
      </c>
      <c r="O538" s="10"/>
      <c r="P538" s="25" t="str">
        <f>HYPERLINK("http://biade.itrust.de/biade/lpext.dll?f=id&amp;id=biadb%3Ar%3A012450&amp;t=main-h.htm","12450")</f>
        <v>12450</v>
      </c>
    </row>
    <row r="539" spans="1:16" ht="15">
      <c r="A539" s="49" t="s">
        <v>2928</v>
      </c>
      <c r="B539" s="49"/>
      <c r="C539" s="51" t="s">
        <v>2929</v>
      </c>
      <c r="D539" s="49" t="s">
        <v>2752</v>
      </c>
      <c r="E539" s="47" t="s">
        <v>2930</v>
      </c>
      <c r="F539" s="47" t="s">
        <v>2931</v>
      </c>
      <c r="G539" s="47"/>
      <c r="H539" s="47" t="s">
        <v>2687</v>
      </c>
      <c r="I539" s="39">
        <v>700</v>
      </c>
      <c r="J539" s="47">
        <v>4</v>
      </c>
      <c r="K539" s="47" t="s">
        <v>2503</v>
      </c>
      <c r="L539" s="47" t="s">
        <v>2130</v>
      </c>
      <c r="M539" s="47">
        <v>2</v>
      </c>
      <c r="N539" s="47"/>
      <c r="O539" s="49"/>
      <c r="P539" s="51"/>
    </row>
    <row r="540" spans="1:16" ht="15.75" thickBot="1">
      <c r="A540" s="50"/>
      <c r="B540" s="50"/>
      <c r="C540" s="52"/>
      <c r="D540" s="50"/>
      <c r="E540" s="48"/>
      <c r="F540" s="48"/>
      <c r="G540" s="48"/>
      <c r="H540" s="48"/>
      <c r="I540" s="38">
        <v>200</v>
      </c>
      <c r="J540" s="48"/>
      <c r="K540" s="48"/>
      <c r="L540" s="48"/>
      <c r="M540" s="48"/>
      <c r="N540" s="48"/>
      <c r="O540" s="50"/>
      <c r="P540" s="52"/>
    </row>
    <row r="541" spans="1:16" ht="15.75" thickBot="1">
      <c r="A541" s="6" t="s">
        <v>2932</v>
      </c>
      <c r="B541" s="10"/>
      <c r="C541" s="11" t="s">
        <v>2933</v>
      </c>
      <c r="D541" s="10" t="s">
        <v>2128</v>
      </c>
      <c r="E541" s="38" t="s">
        <v>2934</v>
      </c>
      <c r="F541" s="38" t="s">
        <v>4026</v>
      </c>
      <c r="G541" s="38" t="s">
        <v>2183</v>
      </c>
      <c r="H541" s="38" t="s">
        <v>2687</v>
      </c>
      <c r="I541" s="38" t="s">
        <v>2124</v>
      </c>
      <c r="J541" s="38"/>
      <c r="K541" s="38"/>
      <c r="L541" s="38" t="s">
        <v>2130</v>
      </c>
      <c r="M541" s="38">
        <v>1</v>
      </c>
      <c r="N541" s="38" t="s">
        <v>2144</v>
      </c>
      <c r="O541" s="10"/>
      <c r="P541" s="25" t="str">
        <f>HYPERLINK("http://biade.itrust.de/biade/lpext.dll?f=id&amp;id=biadb%3Ar%3A016090&amp;t=main-h.htm","16090")</f>
        <v>16090</v>
      </c>
    </row>
    <row r="542" spans="1:16" ht="15">
      <c r="A542" s="49" t="s">
        <v>2935</v>
      </c>
      <c r="B542" s="49"/>
      <c r="C542" s="51" t="s">
        <v>2936</v>
      </c>
      <c r="D542" s="49" t="s">
        <v>2128</v>
      </c>
      <c r="E542" s="47" t="s">
        <v>2937</v>
      </c>
      <c r="F542" s="47">
        <v>25</v>
      </c>
      <c r="G542" s="47" t="s">
        <v>2183</v>
      </c>
      <c r="H542" s="47" t="s">
        <v>2687</v>
      </c>
      <c r="I542" s="39">
        <v>80</v>
      </c>
      <c r="J542" s="47">
        <v>1</v>
      </c>
      <c r="K542" s="47" t="s">
        <v>2533</v>
      </c>
      <c r="L542" s="47" t="s">
        <v>2130</v>
      </c>
      <c r="M542" s="47">
        <v>1</v>
      </c>
      <c r="N542" s="47" t="s">
        <v>2144</v>
      </c>
      <c r="O542" s="49"/>
      <c r="P542" s="51"/>
    </row>
    <row r="543" spans="1:16" ht="15.75" thickBot="1">
      <c r="A543" s="50"/>
      <c r="B543" s="50"/>
      <c r="C543" s="52"/>
      <c r="D543" s="50"/>
      <c r="E543" s="48"/>
      <c r="F543" s="48"/>
      <c r="G543" s="48"/>
      <c r="H543" s="48"/>
      <c r="I543" s="38">
        <v>20</v>
      </c>
      <c r="J543" s="48"/>
      <c r="K543" s="48"/>
      <c r="L543" s="48"/>
      <c r="M543" s="48"/>
      <c r="N543" s="48"/>
      <c r="O543" s="50"/>
      <c r="P543" s="52"/>
    </row>
    <row r="544" spans="1:16" ht="15">
      <c r="A544" s="5" t="s">
        <v>2938</v>
      </c>
      <c r="B544" s="49" t="s">
        <v>2939</v>
      </c>
      <c r="C544" s="51" t="s">
        <v>2940</v>
      </c>
      <c r="D544" s="49"/>
      <c r="E544" s="47"/>
      <c r="F544" s="47"/>
      <c r="G544" s="47"/>
      <c r="H544" s="47" t="s">
        <v>2123</v>
      </c>
      <c r="I544" s="47" t="s">
        <v>2124</v>
      </c>
      <c r="J544" s="47"/>
      <c r="K544" s="47"/>
      <c r="L544" s="47" t="s">
        <v>2165</v>
      </c>
      <c r="M544" s="47">
        <v>1</v>
      </c>
      <c r="N544" s="47"/>
      <c r="O544" s="49"/>
      <c r="P544" s="51"/>
    </row>
    <row r="545" spans="1:16" ht="15.75" thickBot="1">
      <c r="A545" s="6" t="s">
        <v>4089</v>
      </c>
      <c r="B545" s="50"/>
      <c r="C545" s="52"/>
      <c r="D545" s="50"/>
      <c r="E545" s="48"/>
      <c r="F545" s="48"/>
      <c r="G545" s="48"/>
      <c r="H545" s="48"/>
      <c r="I545" s="48"/>
      <c r="J545" s="48"/>
      <c r="K545" s="48"/>
      <c r="L545" s="48"/>
      <c r="M545" s="48"/>
      <c r="N545" s="48"/>
      <c r="O545" s="50"/>
      <c r="P545" s="52"/>
    </row>
    <row r="546" spans="1:16" ht="15.75" thickBot="1">
      <c r="A546" s="6" t="s">
        <v>2941</v>
      </c>
      <c r="B546" s="10" t="s">
        <v>2121</v>
      </c>
      <c r="C546" s="11" t="s">
        <v>2942</v>
      </c>
      <c r="D546" s="10" t="s">
        <v>3778</v>
      </c>
      <c r="E546" s="38" t="s">
        <v>2943</v>
      </c>
      <c r="F546" s="38" t="s">
        <v>2944</v>
      </c>
      <c r="G546" s="38"/>
      <c r="H546" s="38" t="s">
        <v>2687</v>
      </c>
      <c r="I546" s="38" t="s">
        <v>2124</v>
      </c>
      <c r="J546" s="38"/>
      <c r="K546" s="38" t="s">
        <v>2503</v>
      </c>
      <c r="L546" s="38" t="s">
        <v>2130</v>
      </c>
      <c r="M546" s="38">
        <v>1</v>
      </c>
      <c r="N546" s="38" t="s">
        <v>2144</v>
      </c>
      <c r="O546" s="10"/>
      <c r="P546" s="25" t="str">
        <f>HYPERLINK("http://biade.itrust.de/biade/lpext.dll?f=id&amp;id=biadb%3Ar%3A027890&amp;t=main-h.htm","27890")</f>
        <v>27890</v>
      </c>
    </row>
    <row r="547" spans="1:16" ht="15.75" thickBot="1">
      <c r="A547" s="6" t="s">
        <v>2945</v>
      </c>
      <c r="B547" s="10"/>
      <c r="C547" s="11" t="s">
        <v>2946</v>
      </c>
      <c r="D547" s="10" t="s">
        <v>2476</v>
      </c>
      <c r="E547" s="38">
        <v>12</v>
      </c>
      <c r="F547" s="38" t="s">
        <v>2507</v>
      </c>
      <c r="G547" s="38"/>
      <c r="H547" s="38" t="s">
        <v>501</v>
      </c>
      <c r="I547" s="38" t="s">
        <v>2124</v>
      </c>
      <c r="J547" s="38"/>
      <c r="K547" s="38" t="s">
        <v>2457</v>
      </c>
      <c r="L547" s="38" t="s">
        <v>2202</v>
      </c>
      <c r="M547" s="38"/>
      <c r="N547" s="38"/>
      <c r="O547" s="10"/>
      <c r="P547" s="25" t="str">
        <f>HYPERLINK("http://biade.itrust.de/biade/lpext.dll?f=id&amp;id=biadb%3Ar%3A031000&amp;t=main-h.htm","31000")</f>
        <v>31000</v>
      </c>
    </row>
    <row r="548" spans="1:16" ht="25.5">
      <c r="A548" s="49" t="s">
        <v>2947</v>
      </c>
      <c r="B548" s="7" t="s">
        <v>2948</v>
      </c>
      <c r="C548" s="51" t="s">
        <v>2949</v>
      </c>
      <c r="D548" s="49" t="s">
        <v>2128</v>
      </c>
      <c r="E548" s="47">
        <v>22</v>
      </c>
      <c r="F548" s="47"/>
      <c r="G548" s="47"/>
      <c r="H548" s="47" t="s">
        <v>2718</v>
      </c>
      <c r="I548" s="47" t="s">
        <v>2124</v>
      </c>
      <c r="J548" s="47"/>
      <c r="K548" s="47"/>
      <c r="L548" s="47" t="s">
        <v>2165</v>
      </c>
      <c r="M548" s="47">
        <v>1</v>
      </c>
      <c r="N548" s="47"/>
      <c r="O548" s="49"/>
      <c r="P548" s="51"/>
    </row>
    <row r="549" spans="1:16" ht="15.75" thickBot="1">
      <c r="A549" s="50"/>
      <c r="B549" s="10" t="s">
        <v>1262</v>
      </c>
      <c r="C549" s="52"/>
      <c r="D549" s="50"/>
      <c r="E549" s="48"/>
      <c r="F549" s="48"/>
      <c r="G549" s="48"/>
      <c r="H549" s="48"/>
      <c r="I549" s="48"/>
      <c r="J549" s="48"/>
      <c r="K549" s="48"/>
      <c r="L549" s="48"/>
      <c r="M549" s="48"/>
      <c r="N549" s="48"/>
      <c r="O549" s="50"/>
      <c r="P549" s="52"/>
    </row>
    <row r="550" spans="1:16" ht="15.75" thickBot="1">
      <c r="A550" s="17" t="s">
        <v>941</v>
      </c>
      <c r="B550" s="18" t="s">
        <v>2950</v>
      </c>
      <c r="C550" s="11" t="s">
        <v>2951</v>
      </c>
      <c r="D550" s="10" t="s">
        <v>1242</v>
      </c>
      <c r="E550" s="38" t="s">
        <v>2952</v>
      </c>
      <c r="F550" s="38" t="s">
        <v>1244</v>
      </c>
      <c r="G550" s="38"/>
      <c r="H550" s="38" t="s">
        <v>2687</v>
      </c>
      <c r="I550" s="38" t="s">
        <v>2124</v>
      </c>
      <c r="J550" s="38"/>
      <c r="K550" s="38"/>
      <c r="L550" s="38" t="s">
        <v>2130</v>
      </c>
      <c r="M550" s="38">
        <v>1</v>
      </c>
      <c r="N550" s="38" t="s">
        <v>3792</v>
      </c>
      <c r="O550" s="10"/>
      <c r="P550" s="25" t="str">
        <f>HYPERLINK("http://biade.itrust.de/biade/lpext.dll?f=id&amp;id=biadb%3Ar%3A035140&amp;t=main-h.htm","35140")</f>
        <v>35140</v>
      </c>
    </row>
    <row r="551" spans="1:16" ht="15.75" thickBot="1">
      <c r="A551" s="17" t="s">
        <v>2953</v>
      </c>
      <c r="B551" s="18" t="s">
        <v>2954</v>
      </c>
      <c r="C551" s="11" t="s">
        <v>2955</v>
      </c>
      <c r="D551" s="10" t="s">
        <v>1242</v>
      </c>
      <c r="E551" s="38" t="s">
        <v>2956</v>
      </c>
      <c r="F551" s="38" t="s">
        <v>1244</v>
      </c>
      <c r="G551" s="38"/>
      <c r="H551" s="38" t="s">
        <v>2687</v>
      </c>
      <c r="I551" s="38" t="s">
        <v>2124</v>
      </c>
      <c r="J551" s="38"/>
      <c r="K551" s="38" t="s">
        <v>2533</v>
      </c>
      <c r="L551" s="38" t="s">
        <v>2130</v>
      </c>
      <c r="M551" s="38">
        <v>1</v>
      </c>
      <c r="N551" s="38" t="s">
        <v>3792</v>
      </c>
      <c r="O551" s="10"/>
      <c r="P551" s="25" t="str">
        <f>HYPERLINK("http://biade.itrust.de/biade/lpext.dll?f=id&amp;id=biadb%3Ar%3A035140&amp;t=main-h.htm","35140")</f>
        <v>35140</v>
      </c>
    </row>
    <row r="552" spans="1:16" ht="15.75" thickBot="1">
      <c r="A552" s="17" t="s">
        <v>2957</v>
      </c>
      <c r="B552" s="10" t="s">
        <v>2121</v>
      </c>
      <c r="C552" s="11" t="s">
        <v>2958</v>
      </c>
      <c r="D552" s="10" t="s">
        <v>2128</v>
      </c>
      <c r="E552" s="38" t="s">
        <v>2959</v>
      </c>
      <c r="F552" s="38" t="s">
        <v>2960</v>
      </c>
      <c r="G552" s="38"/>
      <c r="H552" s="38" t="s">
        <v>2687</v>
      </c>
      <c r="I552" s="38" t="s">
        <v>2124</v>
      </c>
      <c r="J552" s="38"/>
      <c r="K552" s="38" t="s">
        <v>2533</v>
      </c>
      <c r="L552" s="38" t="s">
        <v>2130</v>
      </c>
      <c r="M552" s="38">
        <v>1</v>
      </c>
      <c r="N552" s="38"/>
      <c r="O552" s="10"/>
      <c r="P552" s="25" t="str">
        <f>HYPERLINK("http://biade.itrust.de/biade/lpext.dll?f=id&amp;id=biadb%3Ar%3A037720&amp;t=main-h.htm","37720")</f>
        <v>37720</v>
      </c>
    </row>
    <row r="553" spans="1:16" ht="15.75" thickBot="1">
      <c r="A553" s="6" t="s">
        <v>2961</v>
      </c>
      <c r="B553" s="10" t="s">
        <v>2121</v>
      </c>
      <c r="C553" s="11" t="s">
        <v>2962</v>
      </c>
      <c r="D553" s="10" t="s">
        <v>713</v>
      </c>
      <c r="E553" s="38" t="s">
        <v>2963</v>
      </c>
      <c r="F553" s="38" t="s">
        <v>2964</v>
      </c>
      <c r="G553" s="38"/>
      <c r="H553" s="38" t="s">
        <v>2687</v>
      </c>
      <c r="I553" s="38" t="s">
        <v>2124</v>
      </c>
      <c r="J553" s="38"/>
      <c r="K553" s="38"/>
      <c r="L553" s="38" t="s">
        <v>2130</v>
      </c>
      <c r="M553" s="38">
        <v>1</v>
      </c>
      <c r="N553" s="38" t="s">
        <v>1252</v>
      </c>
      <c r="O553" s="10"/>
      <c r="P553" s="25" t="str">
        <f>HYPERLINK("http://biade.itrust.de/biade/lpext.dll?f=id&amp;id=biadb%3Ar%3A022300&amp;t=main-h.htm","22300")</f>
        <v>22300</v>
      </c>
    </row>
    <row r="554" spans="1:16" ht="15.75" thickBot="1">
      <c r="A554" s="6" t="s">
        <v>2965</v>
      </c>
      <c r="B554" s="10" t="s">
        <v>2121</v>
      </c>
      <c r="C554" s="11" t="s">
        <v>2966</v>
      </c>
      <c r="D554" s="10" t="s">
        <v>3961</v>
      </c>
      <c r="E554" s="38" t="s">
        <v>882</v>
      </c>
      <c r="F554" s="38" t="s">
        <v>2967</v>
      </c>
      <c r="G554" s="38"/>
      <c r="H554" s="38" t="s">
        <v>2718</v>
      </c>
      <c r="I554" s="38" t="s">
        <v>2124</v>
      </c>
      <c r="J554" s="38"/>
      <c r="K554" s="38" t="s">
        <v>2533</v>
      </c>
      <c r="L554" s="38" t="s">
        <v>2130</v>
      </c>
      <c r="M554" s="38">
        <v>1</v>
      </c>
      <c r="N554" s="38"/>
      <c r="O554" s="10"/>
      <c r="P554" s="25" t="str">
        <f>HYPERLINK("http://biade.itrust.de/biade/lpext.dll?f=id&amp;id=biadb%3Ar%3A493774&amp;t=main-h.htm","493774")</f>
        <v>493774</v>
      </c>
    </row>
    <row r="555" spans="1:16" ht="26.25" thickBot="1">
      <c r="A555" s="6" t="s">
        <v>2968</v>
      </c>
      <c r="B555" s="10" t="s">
        <v>1142</v>
      </c>
      <c r="C555" s="11" t="s">
        <v>2969</v>
      </c>
      <c r="D555" s="10" t="s">
        <v>2128</v>
      </c>
      <c r="E555" s="38" t="s">
        <v>2970</v>
      </c>
      <c r="F555" s="38" t="s">
        <v>2971</v>
      </c>
      <c r="G555" s="38"/>
      <c r="H555" s="38" t="s">
        <v>2687</v>
      </c>
      <c r="I555" s="38" t="s">
        <v>2124</v>
      </c>
      <c r="J555" s="38"/>
      <c r="K555" s="38"/>
      <c r="L555" s="38" t="s">
        <v>2165</v>
      </c>
      <c r="M555" s="38">
        <v>1</v>
      </c>
      <c r="N555" s="38"/>
      <c r="O555" s="10"/>
      <c r="P555" s="11"/>
    </row>
    <row r="556" spans="1:16" ht="26.25" thickBot="1">
      <c r="A556" s="6" t="s">
        <v>2972</v>
      </c>
      <c r="B556" s="10" t="s">
        <v>1143</v>
      </c>
      <c r="C556" s="11" t="s">
        <v>2973</v>
      </c>
      <c r="D556" s="10"/>
      <c r="E556" s="38"/>
      <c r="F556" s="38"/>
      <c r="G556" s="38"/>
      <c r="H556" s="38" t="s">
        <v>2123</v>
      </c>
      <c r="I556" s="38" t="s">
        <v>2124</v>
      </c>
      <c r="J556" s="38"/>
      <c r="K556" s="38"/>
      <c r="L556" s="38" t="s">
        <v>2125</v>
      </c>
      <c r="M556" s="38"/>
      <c r="N556" s="38"/>
      <c r="O556" s="10"/>
      <c r="P556" s="11"/>
    </row>
    <row r="557" spans="1:16" ht="15.75" thickBot="1">
      <c r="A557" s="6" t="s">
        <v>2974</v>
      </c>
      <c r="B557" s="10" t="s">
        <v>3896</v>
      </c>
      <c r="C557" s="11" t="s">
        <v>2975</v>
      </c>
      <c r="D557" s="10"/>
      <c r="E557" s="38"/>
      <c r="F557" s="38"/>
      <c r="G557" s="38"/>
      <c r="H557" s="38" t="s">
        <v>2123</v>
      </c>
      <c r="I557" s="38" t="s">
        <v>2124</v>
      </c>
      <c r="J557" s="38"/>
      <c r="K557" s="38"/>
      <c r="L557" s="38" t="s">
        <v>2125</v>
      </c>
      <c r="M557" s="38">
        <v>1</v>
      </c>
      <c r="N557" s="38"/>
      <c r="O557" s="10"/>
      <c r="P557" s="11"/>
    </row>
    <row r="558" spans="1:16" ht="22.5" customHeight="1">
      <c r="A558" s="49" t="s">
        <v>2976</v>
      </c>
      <c r="B558" s="49" t="s">
        <v>2977</v>
      </c>
      <c r="C558" s="51" t="s">
        <v>2978</v>
      </c>
      <c r="D558" s="49" t="s">
        <v>2134</v>
      </c>
      <c r="E558" s="47">
        <v>36</v>
      </c>
      <c r="F558" s="47" t="s">
        <v>4026</v>
      </c>
      <c r="G558" s="47" t="s">
        <v>2183</v>
      </c>
      <c r="H558" s="47" t="s">
        <v>2687</v>
      </c>
      <c r="I558" s="39">
        <v>96</v>
      </c>
      <c r="J558" s="47" t="s">
        <v>3881</v>
      </c>
      <c r="K558" s="47" t="s">
        <v>2533</v>
      </c>
      <c r="L558" s="47" t="s">
        <v>2130</v>
      </c>
      <c r="M558" s="47">
        <v>1</v>
      </c>
      <c r="N558" s="47"/>
      <c r="O558" s="49"/>
      <c r="P558" s="51"/>
    </row>
    <row r="559" spans="1:16" ht="15.75" thickBot="1">
      <c r="A559" s="50"/>
      <c r="B559" s="50"/>
      <c r="C559" s="52"/>
      <c r="D559" s="50"/>
      <c r="E559" s="48"/>
      <c r="F559" s="48"/>
      <c r="G559" s="48"/>
      <c r="H559" s="48"/>
      <c r="I559" s="38">
        <v>20</v>
      </c>
      <c r="J559" s="48"/>
      <c r="K559" s="48"/>
      <c r="L559" s="48"/>
      <c r="M559" s="48"/>
      <c r="N559" s="48"/>
      <c r="O559" s="50"/>
      <c r="P559" s="52"/>
    </row>
    <row r="560" spans="1:16" ht="15.75" thickBot="1">
      <c r="A560" s="6" t="s">
        <v>2979</v>
      </c>
      <c r="B560" s="10" t="s">
        <v>2980</v>
      </c>
      <c r="C560" s="11" t="s">
        <v>2981</v>
      </c>
      <c r="D560" s="10" t="s">
        <v>2227</v>
      </c>
      <c r="E560" s="38" t="s">
        <v>2982</v>
      </c>
      <c r="F560" s="38" t="s">
        <v>3924</v>
      </c>
      <c r="G560" s="38" t="s">
        <v>2184</v>
      </c>
      <c r="H560" s="38" t="s">
        <v>2687</v>
      </c>
      <c r="I560" s="38" t="s">
        <v>2124</v>
      </c>
      <c r="J560" s="38"/>
      <c r="K560" s="38" t="s">
        <v>2533</v>
      </c>
      <c r="L560" s="38" t="s">
        <v>2130</v>
      </c>
      <c r="M560" s="38">
        <v>2</v>
      </c>
      <c r="N560" s="38" t="s">
        <v>167</v>
      </c>
      <c r="O560" s="10"/>
      <c r="P560" s="25" t="str">
        <f>HYPERLINK("http://biade.itrust.de/biade/lpext.dll?f=id&amp;id=biadb%3Ar%3A032650&amp;t=main-h.htm","32650")</f>
        <v>32650</v>
      </c>
    </row>
    <row r="561" spans="1:16" ht="15.75" thickBot="1">
      <c r="A561" s="6" t="s">
        <v>2983</v>
      </c>
      <c r="B561" s="10" t="s">
        <v>2984</v>
      </c>
      <c r="C561" s="11" t="s">
        <v>2985</v>
      </c>
      <c r="D561" s="10" t="s">
        <v>2227</v>
      </c>
      <c r="E561" s="38" t="s">
        <v>2986</v>
      </c>
      <c r="F561" s="38" t="s">
        <v>1281</v>
      </c>
      <c r="G561" s="38"/>
      <c r="H561" s="38" t="s">
        <v>2687</v>
      </c>
      <c r="I561" s="38" t="s">
        <v>2124</v>
      </c>
      <c r="J561" s="38"/>
      <c r="K561" s="38"/>
      <c r="L561" s="38" t="s">
        <v>2130</v>
      </c>
      <c r="M561" s="38">
        <v>1</v>
      </c>
      <c r="N561" s="38" t="s">
        <v>3792</v>
      </c>
      <c r="O561" s="10"/>
      <c r="P561" s="25" t="str">
        <f>HYPERLINK("http://biade.itrust.de/biade/lpext.dll?f=id&amp;id=biadb%3Ar%3A014670&amp;t=main-h.htm","14670")</f>
        <v>14670</v>
      </c>
    </row>
    <row r="562" spans="1:16" ht="15.75" thickBot="1">
      <c r="A562" s="6" t="s">
        <v>2987</v>
      </c>
      <c r="B562" s="10" t="s">
        <v>1141</v>
      </c>
      <c r="C562" s="11" t="s">
        <v>2988</v>
      </c>
      <c r="D562" s="10" t="s">
        <v>2513</v>
      </c>
      <c r="E562" s="38" t="s">
        <v>2989</v>
      </c>
      <c r="F562" s="38" t="s">
        <v>3884</v>
      </c>
      <c r="G562" s="38"/>
      <c r="H562" s="38" t="s">
        <v>1282</v>
      </c>
      <c r="I562" s="38" t="s">
        <v>2124</v>
      </c>
      <c r="J562" s="38"/>
      <c r="K562" s="38" t="s">
        <v>1239</v>
      </c>
      <c r="L562" s="38" t="s">
        <v>2130</v>
      </c>
      <c r="M562" s="38">
        <v>2</v>
      </c>
      <c r="N562" s="38"/>
      <c r="O562" s="10"/>
      <c r="P562" s="25" t="str">
        <f>HYPERLINK("http://biade.itrust.de/biade/lpext.dll?f=id&amp;id=biadb%3Ar%3A491175&amp;t=main-h.htm","491175")</f>
        <v>491175</v>
      </c>
    </row>
    <row r="563" spans="1:16" ht="15.75" thickBot="1">
      <c r="A563" s="6" t="s">
        <v>2990</v>
      </c>
      <c r="B563" s="10" t="s">
        <v>2121</v>
      </c>
      <c r="C563" s="11" t="s">
        <v>2991</v>
      </c>
      <c r="D563" s="10" t="s">
        <v>2128</v>
      </c>
      <c r="E563" s="38" t="s">
        <v>2992</v>
      </c>
      <c r="F563" s="38" t="s">
        <v>2993</v>
      </c>
      <c r="G563" s="38" t="s">
        <v>3940</v>
      </c>
      <c r="H563" s="38" t="s">
        <v>502</v>
      </c>
      <c r="I563" s="38" t="s">
        <v>2124</v>
      </c>
      <c r="J563" s="38"/>
      <c r="K563" s="38"/>
      <c r="L563" s="38" t="s">
        <v>2165</v>
      </c>
      <c r="M563" s="38">
        <v>1</v>
      </c>
      <c r="N563" s="38"/>
      <c r="O563" s="10"/>
      <c r="P563" s="11"/>
    </row>
    <row r="564" spans="1:16" ht="15.75" thickBot="1">
      <c r="A564" s="6" t="s">
        <v>2994</v>
      </c>
      <c r="B564" s="10" t="s">
        <v>2995</v>
      </c>
      <c r="C564" s="11" t="s">
        <v>2996</v>
      </c>
      <c r="D564" s="10" t="s">
        <v>2997</v>
      </c>
      <c r="E564" s="38" t="s">
        <v>2998</v>
      </c>
      <c r="F564" s="38" t="s">
        <v>2999</v>
      </c>
      <c r="G564" s="38" t="s">
        <v>2184</v>
      </c>
      <c r="H564" s="38" t="s">
        <v>1224</v>
      </c>
      <c r="I564" s="38" t="s">
        <v>2697</v>
      </c>
      <c r="J564" s="38">
        <v>1</v>
      </c>
      <c r="K564" s="38" t="s">
        <v>2189</v>
      </c>
      <c r="L564" s="38" t="s">
        <v>2172</v>
      </c>
      <c r="M564" s="38">
        <v>1</v>
      </c>
      <c r="N564" s="38"/>
      <c r="O564" s="10"/>
      <c r="P564" s="25" t="str">
        <f>HYPERLINK("http://biade.itrust.de/biade/lpext.dll?f=id&amp;id=biadb%3Ar%3A021630&amp;t=main-h.htm","21630")</f>
        <v>21630</v>
      </c>
    </row>
    <row r="565" spans="1:16" ht="15.75" thickBot="1">
      <c r="A565" s="6" t="s">
        <v>3000</v>
      </c>
      <c r="B565" s="10" t="s">
        <v>3001</v>
      </c>
      <c r="C565" s="11" t="s">
        <v>3002</v>
      </c>
      <c r="D565" s="10" t="s">
        <v>2152</v>
      </c>
      <c r="E565" s="38" t="s">
        <v>3003</v>
      </c>
      <c r="F565" s="38" t="s">
        <v>2615</v>
      </c>
      <c r="G565" s="38" t="s">
        <v>894</v>
      </c>
      <c r="H565" s="38" t="s">
        <v>2156</v>
      </c>
      <c r="I565" s="38" t="s">
        <v>2124</v>
      </c>
      <c r="J565" s="38"/>
      <c r="K565" s="38" t="s">
        <v>2189</v>
      </c>
      <c r="L565" s="38" t="s">
        <v>2194</v>
      </c>
      <c r="M565" s="38">
        <v>3</v>
      </c>
      <c r="N565" s="38"/>
      <c r="O565" s="10"/>
      <c r="P565" s="25" t="str">
        <f>HYPERLINK("http://biade.itrust.de/biade/lpext.dll?f=id&amp;id=biadb%3Ar%3A013440&amp;t=main-h.htm","13440")</f>
        <v>13440</v>
      </c>
    </row>
    <row r="566" spans="1:16" ht="26.25" thickBot="1">
      <c r="A566" s="6" t="s">
        <v>3004</v>
      </c>
      <c r="B566" s="10" t="s">
        <v>3005</v>
      </c>
      <c r="C566" s="11" t="s">
        <v>3006</v>
      </c>
      <c r="D566" s="10" t="s">
        <v>2128</v>
      </c>
      <c r="E566" s="38" t="s">
        <v>3007</v>
      </c>
      <c r="F566" s="38" t="s">
        <v>3008</v>
      </c>
      <c r="G566" s="38" t="s">
        <v>3940</v>
      </c>
      <c r="H566" s="38" t="s">
        <v>3009</v>
      </c>
      <c r="I566" s="38" t="s">
        <v>2124</v>
      </c>
      <c r="J566" s="38"/>
      <c r="K566" s="38"/>
      <c r="L566" s="38" t="s">
        <v>2194</v>
      </c>
      <c r="M566" s="38">
        <v>3</v>
      </c>
      <c r="N566" s="38"/>
      <c r="O566" s="10"/>
      <c r="P566" s="25" t="str">
        <f>HYPERLINK("http://biade.itrust.de/biade/lpext.dll?f=id&amp;id=biadb%3Ar%3A493575&amp;t=main-h.htm","493575")</f>
        <v>493575</v>
      </c>
    </row>
    <row r="567" spans="1:16" ht="15.75" thickBot="1">
      <c r="A567" s="6" t="s">
        <v>3010</v>
      </c>
      <c r="B567" s="10" t="s">
        <v>1140</v>
      </c>
      <c r="C567" s="11" t="s">
        <v>3011</v>
      </c>
      <c r="D567" s="10" t="s">
        <v>2128</v>
      </c>
      <c r="E567" s="38" t="s">
        <v>3012</v>
      </c>
      <c r="F567" s="38" t="s">
        <v>3013</v>
      </c>
      <c r="G567" s="38"/>
      <c r="H567" s="38" t="s">
        <v>2687</v>
      </c>
      <c r="I567" s="38" t="s">
        <v>2124</v>
      </c>
      <c r="J567" s="38"/>
      <c r="K567" s="38"/>
      <c r="L567" s="38" t="s">
        <v>2194</v>
      </c>
      <c r="M567" s="38">
        <v>2</v>
      </c>
      <c r="N567" s="38" t="s">
        <v>3014</v>
      </c>
      <c r="O567" s="10"/>
      <c r="P567" s="25" t="str">
        <f>HYPERLINK("http://biade.itrust.de/biade/lpext.dll?f=id&amp;id=biadb%3Ar%3A030900&amp;t=main-h.htm","30900")</f>
        <v>30900</v>
      </c>
    </row>
    <row r="568" spans="1:16" ht="15.75" thickBot="1">
      <c r="A568" s="6" t="s">
        <v>3015</v>
      </c>
      <c r="B568" s="10" t="s">
        <v>2121</v>
      </c>
      <c r="C568" s="11" t="s">
        <v>3016</v>
      </c>
      <c r="D568" s="10" t="s">
        <v>2134</v>
      </c>
      <c r="E568" s="38" t="s">
        <v>2162</v>
      </c>
      <c r="F568" s="38"/>
      <c r="G568" s="38"/>
      <c r="H568" s="38" t="s">
        <v>2687</v>
      </c>
      <c r="I568" s="38" t="s">
        <v>2124</v>
      </c>
      <c r="J568" s="38"/>
      <c r="K568" s="38"/>
      <c r="L568" s="38" t="s">
        <v>2165</v>
      </c>
      <c r="M568" s="38">
        <v>3</v>
      </c>
      <c r="N568" s="38" t="s">
        <v>3017</v>
      </c>
      <c r="O568" s="10"/>
      <c r="P568" s="25" t="str">
        <f>HYPERLINK("http://biade.itrust.de/biade/lpext.dll?f=id&amp;id=biadb%3Ar%3A024370&amp;t=main-h.htm","24370")</f>
        <v>24370</v>
      </c>
    </row>
    <row r="569" spans="1:16" ht="15.75" thickBot="1">
      <c r="A569" s="6" t="s">
        <v>3018</v>
      </c>
      <c r="B569" s="10" t="s">
        <v>3019</v>
      </c>
      <c r="C569" s="11" t="s">
        <v>3020</v>
      </c>
      <c r="D569" s="10" t="s">
        <v>2134</v>
      </c>
      <c r="E569" s="38" t="s">
        <v>3021</v>
      </c>
      <c r="F569" s="38">
        <v>61</v>
      </c>
      <c r="G569" s="38"/>
      <c r="H569" s="38" t="s">
        <v>2687</v>
      </c>
      <c r="I569" s="38" t="s">
        <v>2124</v>
      </c>
      <c r="J569" s="38"/>
      <c r="K569" s="38" t="s">
        <v>2533</v>
      </c>
      <c r="L569" s="38" t="s">
        <v>2130</v>
      </c>
      <c r="M569" s="38">
        <v>2</v>
      </c>
      <c r="N569" s="38" t="s">
        <v>3022</v>
      </c>
      <c r="O569" s="10"/>
      <c r="P569" s="25" t="str">
        <f>HYPERLINK("http://biade.itrust.de/biade/lpext.dll?f=id&amp;id=biadb%3Ar%3A028060&amp;t=main-h.htm","28060")</f>
        <v>28060</v>
      </c>
    </row>
    <row r="570" spans="1:16" ht="16.5" thickBot="1">
      <c r="A570" s="6" t="s">
        <v>3023</v>
      </c>
      <c r="B570" s="10" t="s">
        <v>1139</v>
      </c>
      <c r="C570" s="11" t="s">
        <v>3024</v>
      </c>
      <c r="D570" s="10" t="s">
        <v>2152</v>
      </c>
      <c r="E570" s="38" t="s">
        <v>3025</v>
      </c>
      <c r="F570" s="38" t="s">
        <v>2615</v>
      </c>
      <c r="G570" s="38" t="s">
        <v>3026</v>
      </c>
      <c r="H570" s="38" t="s">
        <v>2567</v>
      </c>
      <c r="I570" s="38" t="s">
        <v>2124</v>
      </c>
      <c r="J570" s="38"/>
      <c r="K570" s="38" t="s">
        <v>2189</v>
      </c>
      <c r="L570" s="38" t="s">
        <v>2165</v>
      </c>
      <c r="M570" s="38">
        <v>2</v>
      </c>
      <c r="N570" s="38"/>
      <c r="O570" s="10"/>
      <c r="P570" s="25" t="str">
        <f>HYPERLINK("http://biade.itrust.de/biade/lpext.dll?f=id&amp;id=biadb%3Ar%3A021620&amp;t=main-h.htm","21620")</f>
        <v>21620</v>
      </c>
    </row>
    <row r="571" spans="1:16" ht="15">
      <c r="A571" s="49" t="s">
        <v>3027</v>
      </c>
      <c r="B571" s="53" t="s">
        <v>1138</v>
      </c>
      <c r="C571" s="51" t="s">
        <v>3028</v>
      </c>
      <c r="D571" s="49" t="s">
        <v>3961</v>
      </c>
      <c r="E571" s="47" t="s">
        <v>3029</v>
      </c>
      <c r="F571" s="47" t="s">
        <v>757</v>
      </c>
      <c r="G571" s="47" t="s">
        <v>2183</v>
      </c>
      <c r="H571" s="47" t="s">
        <v>3030</v>
      </c>
      <c r="I571" s="39">
        <v>61</v>
      </c>
      <c r="J571" s="47">
        <v>2</v>
      </c>
      <c r="K571" s="47"/>
      <c r="L571" s="47" t="s">
        <v>2194</v>
      </c>
      <c r="M571" s="47">
        <v>2</v>
      </c>
      <c r="N571" s="47" t="s">
        <v>3031</v>
      </c>
      <c r="O571" s="49"/>
      <c r="P571" s="51"/>
    </row>
    <row r="572" spans="1:16" ht="15.75" thickBot="1">
      <c r="A572" s="50"/>
      <c r="B572" s="54"/>
      <c r="C572" s="52"/>
      <c r="D572" s="50"/>
      <c r="E572" s="48"/>
      <c r="F572" s="48"/>
      <c r="G572" s="48"/>
      <c r="H572" s="48"/>
      <c r="I572" s="38">
        <v>10</v>
      </c>
      <c r="J572" s="48"/>
      <c r="K572" s="48"/>
      <c r="L572" s="48"/>
      <c r="M572" s="48"/>
      <c r="N572" s="48"/>
      <c r="O572" s="50"/>
      <c r="P572" s="52"/>
    </row>
    <row r="573" spans="1:16" ht="15">
      <c r="A573" s="49" t="s">
        <v>3032</v>
      </c>
      <c r="B573" s="53" t="s">
        <v>1137</v>
      </c>
      <c r="C573" s="51" t="s">
        <v>3033</v>
      </c>
      <c r="D573" s="49" t="s">
        <v>3961</v>
      </c>
      <c r="E573" s="47" t="s">
        <v>3034</v>
      </c>
      <c r="F573" s="47">
        <v>61</v>
      </c>
      <c r="G573" s="47" t="s">
        <v>2183</v>
      </c>
      <c r="H573" s="47" t="s">
        <v>3035</v>
      </c>
      <c r="I573" s="39">
        <v>20</v>
      </c>
      <c r="J573" s="47">
        <v>4</v>
      </c>
      <c r="K573" s="47"/>
      <c r="L573" s="47" t="s">
        <v>2194</v>
      </c>
      <c r="M573" s="47">
        <v>2</v>
      </c>
      <c r="N573" s="47"/>
      <c r="O573" s="49"/>
      <c r="P573" s="51"/>
    </row>
    <row r="574" spans="1:16" ht="15.75" thickBot="1">
      <c r="A574" s="50"/>
      <c r="B574" s="54"/>
      <c r="C574" s="52"/>
      <c r="D574" s="50"/>
      <c r="E574" s="48"/>
      <c r="F574" s="48"/>
      <c r="G574" s="48"/>
      <c r="H574" s="48"/>
      <c r="I574" s="38">
        <v>3</v>
      </c>
      <c r="J574" s="48"/>
      <c r="K574" s="48"/>
      <c r="L574" s="48"/>
      <c r="M574" s="48"/>
      <c r="N574" s="48"/>
      <c r="O574" s="50"/>
      <c r="P574" s="52"/>
    </row>
    <row r="575" spans="1:16" ht="15">
      <c r="A575" s="49" t="s">
        <v>3036</v>
      </c>
      <c r="B575" s="53" t="s">
        <v>1136</v>
      </c>
      <c r="C575" s="51" t="s">
        <v>3037</v>
      </c>
      <c r="D575" s="49" t="s">
        <v>3961</v>
      </c>
      <c r="E575" s="47" t="s">
        <v>3038</v>
      </c>
      <c r="F575" s="47" t="s">
        <v>3039</v>
      </c>
      <c r="G575" s="47" t="s">
        <v>2181</v>
      </c>
      <c r="H575" s="47" t="s">
        <v>1282</v>
      </c>
      <c r="I575" s="39">
        <v>6</v>
      </c>
      <c r="J575" s="47">
        <v>2</v>
      </c>
      <c r="K575" s="47"/>
      <c r="L575" s="47" t="s">
        <v>2194</v>
      </c>
      <c r="M575" s="47">
        <v>2</v>
      </c>
      <c r="N575" s="47" t="s">
        <v>4191</v>
      </c>
      <c r="O575" s="49"/>
      <c r="P575" s="51"/>
    </row>
    <row r="576" spans="1:16" ht="15.75" thickBot="1">
      <c r="A576" s="50"/>
      <c r="B576" s="54"/>
      <c r="C576" s="52"/>
      <c r="D576" s="50"/>
      <c r="E576" s="48"/>
      <c r="F576" s="48"/>
      <c r="G576" s="48"/>
      <c r="H576" s="48"/>
      <c r="I576" s="38">
        <v>1</v>
      </c>
      <c r="J576" s="48"/>
      <c r="K576" s="48"/>
      <c r="L576" s="48"/>
      <c r="M576" s="48"/>
      <c r="N576" s="48"/>
      <c r="O576" s="50"/>
      <c r="P576" s="52"/>
    </row>
    <row r="577" spans="1:16" ht="15.75" thickBot="1">
      <c r="A577" s="6" t="s">
        <v>3040</v>
      </c>
      <c r="B577" s="10" t="s">
        <v>2121</v>
      </c>
      <c r="C577" s="11" t="s">
        <v>3041</v>
      </c>
      <c r="D577" s="10" t="s">
        <v>2997</v>
      </c>
      <c r="E577" s="38" t="s">
        <v>3042</v>
      </c>
      <c r="F577" s="38" t="s">
        <v>3043</v>
      </c>
      <c r="G577" s="38"/>
      <c r="H577" s="38" t="s">
        <v>2901</v>
      </c>
      <c r="I577" s="38" t="s">
        <v>2124</v>
      </c>
      <c r="J577" s="38"/>
      <c r="K577" s="38"/>
      <c r="L577" s="38" t="s">
        <v>2165</v>
      </c>
      <c r="M577" s="38">
        <v>3</v>
      </c>
      <c r="N577" s="38"/>
      <c r="O577" s="10"/>
      <c r="P577" s="11"/>
    </row>
    <row r="578" spans="1:16" ht="15">
      <c r="A578" s="49" t="s">
        <v>3044</v>
      </c>
      <c r="B578" s="49" t="s">
        <v>3045</v>
      </c>
      <c r="C578" s="51" t="s">
        <v>3046</v>
      </c>
      <c r="D578" s="49" t="s">
        <v>2187</v>
      </c>
      <c r="E578" s="47">
        <v>59</v>
      </c>
      <c r="F578" s="47" t="s">
        <v>3047</v>
      </c>
      <c r="G578" s="47"/>
      <c r="H578" s="47" t="s">
        <v>1232</v>
      </c>
      <c r="I578" s="39">
        <v>5000</v>
      </c>
      <c r="J578" s="47">
        <v>2</v>
      </c>
      <c r="K578" s="47"/>
      <c r="L578" s="47" t="s">
        <v>2187</v>
      </c>
      <c r="M578" s="47">
        <v>1</v>
      </c>
      <c r="N578" s="47"/>
      <c r="O578" s="49"/>
      <c r="P578" s="51"/>
    </row>
    <row r="579" spans="1:16" ht="15.75" thickBot="1">
      <c r="A579" s="50"/>
      <c r="B579" s="50"/>
      <c r="C579" s="52"/>
      <c r="D579" s="50"/>
      <c r="E579" s="48"/>
      <c r="F579" s="48"/>
      <c r="G579" s="48"/>
      <c r="H579" s="48"/>
      <c r="I579" s="38">
        <v>1000</v>
      </c>
      <c r="J579" s="48"/>
      <c r="K579" s="48"/>
      <c r="L579" s="48"/>
      <c r="M579" s="48"/>
      <c r="N579" s="48"/>
      <c r="O579" s="50"/>
      <c r="P579" s="52"/>
    </row>
    <row r="580" spans="1:16" ht="15.75" thickBot="1">
      <c r="A580" s="6" t="s">
        <v>942</v>
      </c>
      <c r="B580" s="10" t="s">
        <v>3048</v>
      </c>
      <c r="C580" s="11" t="s">
        <v>3049</v>
      </c>
      <c r="D580" s="10" t="s">
        <v>3771</v>
      </c>
      <c r="E580" s="38" t="s">
        <v>3524</v>
      </c>
      <c r="F580" s="38"/>
      <c r="G580" s="38"/>
      <c r="H580" s="38" t="s">
        <v>2687</v>
      </c>
      <c r="I580" s="38" t="s">
        <v>2124</v>
      </c>
      <c r="J580" s="38"/>
      <c r="K580" s="38" t="s">
        <v>2503</v>
      </c>
      <c r="L580" s="38" t="s">
        <v>2194</v>
      </c>
      <c r="M580" s="38">
        <v>1</v>
      </c>
      <c r="N580" s="38"/>
      <c r="O580" s="10"/>
      <c r="P580" s="25" t="str">
        <f>HYPERLINK("http://biade.itrust.de/biade/lpext.dll?f=id&amp;id=biadb%3Ar%3A002770&amp;t=main-h.htm","2770")</f>
        <v>2770</v>
      </c>
    </row>
    <row r="581" spans="1:16" ht="15">
      <c r="A581" s="49" t="s">
        <v>3050</v>
      </c>
      <c r="B581" s="49"/>
      <c r="C581" s="51" t="s">
        <v>3051</v>
      </c>
      <c r="D581" s="49" t="s">
        <v>3778</v>
      </c>
      <c r="E581" s="47" t="s">
        <v>3052</v>
      </c>
      <c r="F581" s="47" t="s">
        <v>3053</v>
      </c>
      <c r="G581" s="47"/>
      <c r="H581" s="47" t="s">
        <v>3054</v>
      </c>
      <c r="I581" s="39">
        <v>410</v>
      </c>
      <c r="J581" s="47">
        <v>2</v>
      </c>
      <c r="K581" s="47" t="s">
        <v>2533</v>
      </c>
      <c r="L581" s="47" t="s">
        <v>2194</v>
      </c>
      <c r="M581" s="47">
        <v>3</v>
      </c>
      <c r="N581" s="47" t="s">
        <v>3055</v>
      </c>
      <c r="O581" s="49"/>
      <c r="P581" s="51"/>
    </row>
    <row r="582" spans="1:16" ht="15.75" thickBot="1">
      <c r="A582" s="50"/>
      <c r="B582" s="50"/>
      <c r="C582" s="52"/>
      <c r="D582" s="50"/>
      <c r="E582" s="48"/>
      <c r="F582" s="48"/>
      <c r="G582" s="48"/>
      <c r="H582" s="48"/>
      <c r="I582" s="38">
        <v>100</v>
      </c>
      <c r="J582" s="48"/>
      <c r="K582" s="48"/>
      <c r="L582" s="48"/>
      <c r="M582" s="48"/>
      <c r="N582" s="48"/>
      <c r="O582" s="50"/>
      <c r="P582" s="52"/>
    </row>
    <row r="583" spans="1:16" ht="15.75" thickBot="1">
      <c r="A583" s="6" t="s">
        <v>3056</v>
      </c>
      <c r="B583" s="10" t="s">
        <v>1135</v>
      </c>
      <c r="C583" s="11" t="s">
        <v>3057</v>
      </c>
      <c r="D583" s="10" t="s">
        <v>4071</v>
      </c>
      <c r="E583" s="38" t="s">
        <v>3058</v>
      </c>
      <c r="F583" s="38" t="s">
        <v>1231</v>
      </c>
      <c r="G583" s="38" t="s">
        <v>2180</v>
      </c>
      <c r="H583" s="38" t="s">
        <v>2156</v>
      </c>
      <c r="I583" s="38" t="s">
        <v>2124</v>
      </c>
      <c r="J583" s="38"/>
      <c r="K583" s="38" t="s">
        <v>1239</v>
      </c>
      <c r="L583" s="38" t="s">
        <v>2194</v>
      </c>
      <c r="M583" s="38">
        <v>3</v>
      </c>
      <c r="N583" s="38" t="s">
        <v>3059</v>
      </c>
      <c r="O583" s="10"/>
      <c r="P583" s="25" t="str">
        <f>HYPERLINK("http://biade.itrust.de/biade/lpext.dll?f=id&amp;id=biadb%3Ar%3A010500&amp;t=main-h.htm","10500")</f>
        <v>10500</v>
      </c>
    </row>
    <row r="584" spans="1:16" ht="15.75" thickBot="1">
      <c r="A584" s="6" t="s">
        <v>3060</v>
      </c>
      <c r="B584" s="10" t="s">
        <v>1134</v>
      </c>
      <c r="C584" s="11" t="s">
        <v>3061</v>
      </c>
      <c r="D584" s="10" t="s">
        <v>1242</v>
      </c>
      <c r="E584" s="38" t="s">
        <v>3062</v>
      </c>
      <c r="F584" s="38" t="s">
        <v>4099</v>
      </c>
      <c r="G584" s="38"/>
      <c r="H584" s="38" t="s">
        <v>1245</v>
      </c>
      <c r="I584" s="38" t="s">
        <v>2124</v>
      </c>
      <c r="J584" s="38"/>
      <c r="K584" s="38" t="s">
        <v>2188</v>
      </c>
      <c r="L584" s="38" t="s">
        <v>2194</v>
      </c>
      <c r="M584" s="38">
        <v>2</v>
      </c>
      <c r="N584" s="38" t="s">
        <v>488</v>
      </c>
      <c r="O584" s="10"/>
      <c r="P584" s="25" t="str">
        <f>HYPERLINK("http://biade.itrust.de/biade/lpext.dll?f=id&amp;id=biadb%3Ar%3A024970&amp;t=main-h.htm","24970")</f>
        <v>24970</v>
      </c>
    </row>
    <row r="585" spans="1:16" ht="15">
      <c r="A585" s="49" t="s">
        <v>489</v>
      </c>
      <c r="B585" s="49" t="s">
        <v>1133</v>
      </c>
      <c r="C585" s="51" t="s">
        <v>490</v>
      </c>
      <c r="D585" s="49" t="s">
        <v>2802</v>
      </c>
      <c r="E585" s="47" t="s">
        <v>491</v>
      </c>
      <c r="F585" s="47" t="s">
        <v>492</v>
      </c>
      <c r="G585" s="47" t="s">
        <v>2181</v>
      </c>
      <c r="H585" s="47" t="s">
        <v>1275</v>
      </c>
      <c r="I585" s="39">
        <v>8</v>
      </c>
      <c r="J585" s="47">
        <v>2</v>
      </c>
      <c r="K585" s="39" t="s">
        <v>3774</v>
      </c>
      <c r="L585" s="47" t="s">
        <v>2201</v>
      </c>
      <c r="M585" s="47">
        <v>3</v>
      </c>
      <c r="N585" s="47" t="s">
        <v>493</v>
      </c>
      <c r="O585" s="49"/>
      <c r="P585" s="51"/>
    </row>
    <row r="586" spans="1:16" ht="15.75" thickBot="1">
      <c r="A586" s="50"/>
      <c r="B586" s="50"/>
      <c r="C586" s="52"/>
      <c r="D586" s="50"/>
      <c r="E586" s="48"/>
      <c r="F586" s="48"/>
      <c r="G586" s="48"/>
      <c r="H586" s="48"/>
      <c r="I586" s="38">
        <v>2</v>
      </c>
      <c r="J586" s="48"/>
      <c r="K586" s="38" t="s">
        <v>2190</v>
      </c>
      <c r="L586" s="48"/>
      <c r="M586" s="48"/>
      <c r="N586" s="48"/>
      <c r="O586" s="50"/>
      <c r="P586" s="52"/>
    </row>
    <row r="587" spans="1:16" ht="15">
      <c r="A587" s="49" t="s">
        <v>494</v>
      </c>
      <c r="B587" s="53" t="s">
        <v>1132</v>
      </c>
      <c r="C587" s="51" t="s">
        <v>495</v>
      </c>
      <c r="D587" s="49" t="s">
        <v>3778</v>
      </c>
      <c r="E587" s="47" t="s">
        <v>496</v>
      </c>
      <c r="F587" s="47" t="s">
        <v>497</v>
      </c>
      <c r="G587" s="47"/>
      <c r="H587" s="47" t="s">
        <v>2687</v>
      </c>
      <c r="I587" s="39">
        <v>800</v>
      </c>
      <c r="J587" s="47">
        <v>2</v>
      </c>
      <c r="K587" s="47" t="s">
        <v>2533</v>
      </c>
      <c r="L587" s="47" t="s">
        <v>2194</v>
      </c>
      <c r="M587" s="47">
        <v>2</v>
      </c>
      <c r="N587" s="47" t="s">
        <v>498</v>
      </c>
      <c r="O587" s="49"/>
      <c r="P587" s="51"/>
    </row>
    <row r="588" spans="1:16" ht="15.75" thickBot="1">
      <c r="A588" s="50"/>
      <c r="B588" s="54"/>
      <c r="C588" s="52"/>
      <c r="D588" s="50"/>
      <c r="E588" s="48"/>
      <c r="F588" s="48"/>
      <c r="G588" s="48"/>
      <c r="H588" s="48"/>
      <c r="I588" s="38">
        <v>200</v>
      </c>
      <c r="J588" s="48"/>
      <c r="K588" s="48"/>
      <c r="L588" s="48"/>
      <c r="M588" s="48"/>
      <c r="N588" s="48"/>
      <c r="O588" s="50"/>
      <c r="P588" s="52"/>
    </row>
    <row r="589" spans="1:16" ht="15">
      <c r="A589" s="5" t="s">
        <v>3084</v>
      </c>
      <c r="B589" s="49"/>
      <c r="C589" s="51" t="s">
        <v>3086</v>
      </c>
      <c r="D589" s="49" t="s">
        <v>3961</v>
      </c>
      <c r="E589" s="47" t="s">
        <v>3087</v>
      </c>
      <c r="F589" s="47" t="s">
        <v>3088</v>
      </c>
      <c r="G589" s="47"/>
      <c r="H589" s="47" t="s">
        <v>2129</v>
      </c>
      <c r="I589" s="47" t="s">
        <v>2124</v>
      </c>
      <c r="J589" s="47"/>
      <c r="K589" s="47"/>
      <c r="L589" s="47" t="s">
        <v>2205</v>
      </c>
      <c r="M589" s="47">
        <v>3</v>
      </c>
      <c r="N589" s="47" t="s">
        <v>4001</v>
      </c>
      <c r="O589" s="49"/>
      <c r="P589" s="51"/>
    </row>
    <row r="590" spans="1:16" ht="15">
      <c r="A590" s="5" t="s">
        <v>1623</v>
      </c>
      <c r="B590" s="56"/>
      <c r="C590" s="57"/>
      <c r="D590" s="56"/>
      <c r="E590" s="55"/>
      <c r="F590" s="55"/>
      <c r="G590" s="55"/>
      <c r="H590" s="55"/>
      <c r="I590" s="55"/>
      <c r="J590" s="55"/>
      <c r="K590" s="55"/>
      <c r="L590" s="55"/>
      <c r="M590" s="55"/>
      <c r="N590" s="55"/>
      <c r="O590" s="56"/>
      <c r="P590" s="57"/>
    </row>
    <row r="591" spans="1:16" ht="15.75" thickBot="1">
      <c r="A591" s="6" t="s">
        <v>3085</v>
      </c>
      <c r="B591" s="50"/>
      <c r="C591" s="52"/>
      <c r="D591" s="50"/>
      <c r="E591" s="48"/>
      <c r="F591" s="48"/>
      <c r="G591" s="48"/>
      <c r="H591" s="48"/>
      <c r="I591" s="48"/>
      <c r="J591" s="48"/>
      <c r="K591" s="48"/>
      <c r="L591" s="48"/>
      <c r="M591" s="48"/>
      <c r="N591" s="48"/>
      <c r="O591" s="50"/>
      <c r="P591" s="52"/>
    </row>
    <row r="592" spans="1:16" ht="15">
      <c r="A592" s="49" t="s">
        <v>3089</v>
      </c>
      <c r="B592" s="49" t="s">
        <v>1131</v>
      </c>
      <c r="C592" s="51" t="s">
        <v>3090</v>
      </c>
      <c r="D592" s="49" t="s">
        <v>2128</v>
      </c>
      <c r="E592" s="47">
        <v>40</v>
      </c>
      <c r="F592" s="47" t="s">
        <v>3091</v>
      </c>
      <c r="G592" s="47" t="s">
        <v>2805</v>
      </c>
      <c r="H592" s="47" t="s">
        <v>1282</v>
      </c>
      <c r="I592" s="39">
        <v>260</v>
      </c>
      <c r="J592" s="47">
        <v>4</v>
      </c>
      <c r="K592" s="47" t="s">
        <v>2188</v>
      </c>
      <c r="L592" s="47" t="s">
        <v>2194</v>
      </c>
      <c r="M592" s="47">
        <v>2</v>
      </c>
      <c r="N592" s="47"/>
      <c r="O592" s="49"/>
      <c r="P592" s="51"/>
    </row>
    <row r="593" spans="1:16" ht="15.75" thickBot="1">
      <c r="A593" s="50"/>
      <c r="B593" s="50"/>
      <c r="C593" s="52"/>
      <c r="D593" s="50"/>
      <c r="E593" s="48"/>
      <c r="F593" s="48"/>
      <c r="G593" s="48"/>
      <c r="H593" s="48"/>
      <c r="I593" s="38">
        <v>75</v>
      </c>
      <c r="J593" s="48"/>
      <c r="K593" s="48"/>
      <c r="L593" s="48"/>
      <c r="M593" s="48"/>
      <c r="N593" s="48"/>
      <c r="O593" s="50"/>
      <c r="P593" s="52"/>
    </row>
    <row r="594" spans="1:16" ht="15.75" thickBot="1">
      <c r="A594" s="6" t="s">
        <v>3092</v>
      </c>
      <c r="B594" s="10" t="s">
        <v>2121</v>
      </c>
      <c r="C594" s="11" t="s">
        <v>3093</v>
      </c>
      <c r="D594" s="10" t="s">
        <v>2134</v>
      </c>
      <c r="E594" s="38" t="s">
        <v>2135</v>
      </c>
      <c r="F594" s="38">
        <v>26</v>
      </c>
      <c r="G594" s="38"/>
      <c r="H594" s="38" t="s">
        <v>2687</v>
      </c>
      <c r="I594" s="38" t="s">
        <v>2124</v>
      </c>
      <c r="J594" s="38"/>
      <c r="K594" s="38"/>
      <c r="L594" s="38" t="s">
        <v>2165</v>
      </c>
      <c r="M594" s="38">
        <v>3</v>
      </c>
      <c r="N594" s="38"/>
      <c r="O594" s="10"/>
      <c r="P594" s="25" t="str">
        <f>HYPERLINK("http://biade.itrust.de/biade/lpext.dll?f=id&amp;id=biadb%3Ar%3A033640&amp;t=main-h.htm","33640")</f>
        <v>33640</v>
      </c>
    </row>
    <row r="595" spans="1:16" ht="38.25" customHeight="1">
      <c r="A595" s="5" t="s">
        <v>984</v>
      </c>
      <c r="B595" s="49" t="s">
        <v>3094</v>
      </c>
      <c r="C595" s="51" t="s">
        <v>3095</v>
      </c>
      <c r="D595" s="49"/>
      <c r="E595" s="47"/>
      <c r="F595" s="47"/>
      <c r="G595" s="47"/>
      <c r="H595" s="47" t="s">
        <v>2123</v>
      </c>
      <c r="I595" s="47" t="s">
        <v>2124</v>
      </c>
      <c r="J595" s="47"/>
      <c r="K595" s="47"/>
      <c r="L595" s="47" t="s">
        <v>2165</v>
      </c>
      <c r="M595" s="47">
        <v>3</v>
      </c>
      <c r="N595" s="47"/>
      <c r="O595" s="49"/>
      <c r="P595" s="51"/>
    </row>
    <row r="596" spans="1:16" ht="15">
      <c r="A596" s="5" t="s">
        <v>3996</v>
      </c>
      <c r="B596" s="56"/>
      <c r="C596" s="57"/>
      <c r="D596" s="56"/>
      <c r="E596" s="55"/>
      <c r="F596" s="55"/>
      <c r="G596" s="55"/>
      <c r="H596" s="55"/>
      <c r="I596" s="55"/>
      <c r="J596" s="55"/>
      <c r="K596" s="55"/>
      <c r="L596" s="55"/>
      <c r="M596" s="55"/>
      <c r="N596" s="55"/>
      <c r="O596" s="56"/>
      <c r="P596" s="57"/>
    </row>
    <row r="597" spans="1:16" ht="15.75" thickBot="1">
      <c r="A597" s="6" t="s">
        <v>4089</v>
      </c>
      <c r="B597" s="50"/>
      <c r="C597" s="52"/>
      <c r="D597" s="50"/>
      <c r="E597" s="48"/>
      <c r="F597" s="48"/>
      <c r="G597" s="48"/>
      <c r="H597" s="48"/>
      <c r="I597" s="48"/>
      <c r="J597" s="48"/>
      <c r="K597" s="48"/>
      <c r="L597" s="48"/>
      <c r="M597" s="48"/>
      <c r="N597" s="48"/>
      <c r="O597" s="50"/>
      <c r="P597" s="52"/>
    </row>
    <row r="598" spans="1:16" ht="15.75" thickBot="1">
      <c r="A598" s="20" t="s">
        <v>3096</v>
      </c>
      <c r="B598" s="10" t="s">
        <v>3097</v>
      </c>
      <c r="C598" s="11" t="s">
        <v>3098</v>
      </c>
      <c r="D598" s="10" t="s">
        <v>1229</v>
      </c>
      <c r="E598" s="38" t="s">
        <v>3099</v>
      </c>
      <c r="F598" s="38" t="s">
        <v>3100</v>
      </c>
      <c r="G598" s="38" t="s">
        <v>2181</v>
      </c>
      <c r="H598" s="38" t="s">
        <v>1282</v>
      </c>
      <c r="I598" s="38" t="s">
        <v>2124</v>
      </c>
      <c r="J598" s="38"/>
      <c r="K598" s="38" t="s">
        <v>2189</v>
      </c>
      <c r="L598" s="38" t="s">
        <v>2194</v>
      </c>
      <c r="M598" s="38">
        <v>1</v>
      </c>
      <c r="N598" s="38"/>
      <c r="O598" s="10"/>
      <c r="P598" s="25" t="str">
        <f>HYPERLINK("http://biade.itrust.de/biade/lpext.dll?f=id&amp;id=biadb%3Ar%3A032080&amp;t=main-h.htm","32080")</f>
        <v>32080</v>
      </c>
    </row>
    <row r="599" spans="1:16" ht="15.75" thickBot="1">
      <c r="A599" s="6" t="s">
        <v>985</v>
      </c>
      <c r="B599" s="10" t="s">
        <v>3101</v>
      </c>
      <c r="C599" s="11" t="s">
        <v>3102</v>
      </c>
      <c r="D599" s="10" t="s">
        <v>1229</v>
      </c>
      <c r="E599" s="38" t="s">
        <v>1938</v>
      </c>
      <c r="F599" s="38" t="s">
        <v>1939</v>
      </c>
      <c r="G599" s="38" t="s">
        <v>2184</v>
      </c>
      <c r="H599" s="38" t="s">
        <v>1282</v>
      </c>
      <c r="I599" s="38" t="s">
        <v>2124</v>
      </c>
      <c r="J599" s="38"/>
      <c r="K599" s="38" t="s">
        <v>2157</v>
      </c>
      <c r="L599" s="38" t="s">
        <v>2165</v>
      </c>
      <c r="M599" s="38"/>
      <c r="N599" s="38"/>
      <c r="O599" s="10"/>
      <c r="P599" s="25" t="str">
        <f>HYPERLINK("http://biade.itrust.de/biade/lpext.dll?f=id&amp;id=biadb%3Ar%3A570117&amp;t=main-h.htm","570117")</f>
        <v>570117</v>
      </c>
    </row>
    <row r="600" spans="1:16" ht="15.75" thickBot="1">
      <c r="A600" s="6" t="s">
        <v>1940</v>
      </c>
      <c r="B600" s="10"/>
      <c r="C600" s="11" t="s">
        <v>1941</v>
      </c>
      <c r="D600" s="10" t="s">
        <v>2128</v>
      </c>
      <c r="E600" s="38">
        <v>40</v>
      </c>
      <c r="F600" s="38" t="s">
        <v>3219</v>
      </c>
      <c r="G600" s="38" t="s">
        <v>2181</v>
      </c>
      <c r="H600" s="38" t="s">
        <v>1282</v>
      </c>
      <c r="I600" s="38" t="s">
        <v>2124</v>
      </c>
      <c r="J600" s="38"/>
      <c r="K600" s="38" t="s">
        <v>2188</v>
      </c>
      <c r="L600" s="38" t="s">
        <v>2130</v>
      </c>
      <c r="M600" s="38">
        <v>2</v>
      </c>
      <c r="N600" s="38"/>
      <c r="O600" s="10"/>
      <c r="P600" s="25" t="str">
        <f>HYPERLINK("http://biade.itrust.de/biade/lpext.dll?f=id&amp;id=biadb%3Ar%3A155065&amp;t=main-h.htm","155065")</f>
        <v>155065</v>
      </c>
    </row>
    <row r="601" spans="1:16" ht="15">
      <c r="A601" s="49" t="s">
        <v>1942</v>
      </c>
      <c r="B601" s="49"/>
      <c r="C601" s="51" t="s">
        <v>1943</v>
      </c>
      <c r="D601" s="49" t="s">
        <v>3795</v>
      </c>
      <c r="E601" s="47" t="s">
        <v>3944</v>
      </c>
      <c r="F601" s="47" t="s">
        <v>3945</v>
      </c>
      <c r="G601" s="47" t="s">
        <v>2183</v>
      </c>
      <c r="H601" s="47" t="s">
        <v>1282</v>
      </c>
      <c r="I601" s="39">
        <v>15</v>
      </c>
      <c r="J601" s="47" t="s">
        <v>1944</v>
      </c>
      <c r="K601" s="47" t="s">
        <v>2533</v>
      </c>
      <c r="L601" s="47" t="s">
        <v>2130</v>
      </c>
      <c r="M601" s="47">
        <v>1</v>
      </c>
      <c r="N601" s="47" t="s">
        <v>1945</v>
      </c>
      <c r="O601" s="49"/>
      <c r="P601" s="51"/>
    </row>
    <row r="602" spans="1:16" ht="15.75" thickBot="1">
      <c r="A602" s="50"/>
      <c r="B602" s="50"/>
      <c r="C602" s="52"/>
      <c r="D602" s="50"/>
      <c r="E602" s="48"/>
      <c r="F602" s="48"/>
      <c r="G602" s="48"/>
      <c r="H602" s="48"/>
      <c r="I602" s="38">
        <v>5</v>
      </c>
      <c r="J602" s="48"/>
      <c r="K602" s="48"/>
      <c r="L602" s="48"/>
      <c r="M602" s="48"/>
      <c r="N602" s="48"/>
      <c r="O602" s="50"/>
      <c r="P602" s="52"/>
    </row>
    <row r="603" spans="1:16" ht="22.5" customHeight="1">
      <c r="A603" s="49" t="s">
        <v>943</v>
      </c>
      <c r="B603" s="49" t="s">
        <v>1130</v>
      </c>
      <c r="C603" s="51" t="s">
        <v>1946</v>
      </c>
      <c r="D603" s="49" t="s">
        <v>2227</v>
      </c>
      <c r="E603" s="47" t="s">
        <v>1947</v>
      </c>
      <c r="F603" s="47" t="s">
        <v>1948</v>
      </c>
      <c r="G603" s="47" t="s">
        <v>2183</v>
      </c>
      <c r="H603" s="47" t="s">
        <v>2687</v>
      </c>
      <c r="I603" s="39">
        <v>24</v>
      </c>
      <c r="J603" s="47">
        <v>1</v>
      </c>
      <c r="K603" s="47" t="s">
        <v>2533</v>
      </c>
      <c r="L603" s="47" t="s">
        <v>2130</v>
      </c>
      <c r="M603" s="47">
        <v>1</v>
      </c>
      <c r="N603" s="47" t="s">
        <v>1949</v>
      </c>
      <c r="O603" s="49"/>
      <c r="P603" s="51"/>
    </row>
    <row r="604" spans="1:16" ht="15.75" thickBot="1">
      <c r="A604" s="50"/>
      <c r="B604" s="50"/>
      <c r="C604" s="52"/>
      <c r="D604" s="50"/>
      <c r="E604" s="48"/>
      <c r="F604" s="48"/>
      <c r="G604" s="48"/>
      <c r="H604" s="48"/>
      <c r="I604" s="38">
        <v>5</v>
      </c>
      <c r="J604" s="48"/>
      <c r="K604" s="48"/>
      <c r="L604" s="48"/>
      <c r="M604" s="48"/>
      <c r="N604" s="48"/>
      <c r="O604" s="50"/>
      <c r="P604" s="52"/>
    </row>
    <row r="605" spans="1:16" ht="15">
      <c r="A605" s="49" t="s">
        <v>1950</v>
      </c>
      <c r="B605" s="49" t="s">
        <v>1129</v>
      </c>
      <c r="C605" s="51" t="s">
        <v>1951</v>
      </c>
      <c r="D605" s="49" t="s">
        <v>2128</v>
      </c>
      <c r="E605" s="47">
        <v>22</v>
      </c>
      <c r="F605" s="47">
        <v>46</v>
      </c>
      <c r="G605" s="47"/>
      <c r="H605" s="47" t="s">
        <v>2164</v>
      </c>
      <c r="I605" s="39">
        <v>44</v>
      </c>
      <c r="J605" s="47">
        <v>4</v>
      </c>
      <c r="K605" s="47"/>
      <c r="L605" s="47" t="s">
        <v>2130</v>
      </c>
      <c r="M605" s="47">
        <v>1</v>
      </c>
      <c r="N605" s="47"/>
      <c r="O605" s="49"/>
      <c r="P605" s="51"/>
    </row>
    <row r="606" spans="1:16" ht="15.75" thickBot="1">
      <c r="A606" s="50"/>
      <c r="B606" s="50"/>
      <c r="C606" s="52"/>
      <c r="D606" s="50"/>
      <c r="E606" s="48"/>
      <c r="F606" s="48"/>
      <c r="G606" s="48"/>
      <c r="H606" s="48"/>
      <c r="I606" s="38">
        <v>10</v>
      </c>
      <c r="J606" s="48"/>
      <c r="K606" s="48"/>
      <c r="L606" s="48"/>
      <c r="M606" s="48"/>
      <c r="N606" s="48"/>
      <c r="O606" s="50"/>
      <c r="P606" s="52"/>
    </row>
    <row r="607" spans="1:16" ht="15">
      <c r="A607" s="49" t="s">
        <v>1952</v>
      </c>
      <c r="B607" s="49"/>
      <c r="C607" s="51" t="s">
        <v>1953</v>
      </c>
      <c r="D607" s="49" t="s">
        <v>2802</v>
      </c>
      <c r="E607" s="47" t="s">
        <v>1954</v>
      </c>
      <c r="F607" s="47" t="s">
        <v>1955</v>
      </c>
      <c r="G607" s="47"/>
      <c r="H607" s="47" t="s">
        <v>501</v>
      </c>
      <c r="I607" s="39">
        <v>1200</v>
      </c>
      <c r="J607" s="47">
        <v>1</v>
      </c>
      <c r="K607" s="47" t="s">
        <v>2503</v>
      </c>
      <c r="L607" s="47" t="s">
        <v>2201</v>
      </c>
      <c r="M607" s="47">
        <v>1</v>
      </c>
      <c r="N607" s="47"/>
      <c r="O607" s="49"/>
      <c r="P607" s="51"/>
    </row>
    <row r="608" spans="1:16" ht="15.75" thickBot="1">
      <c r="A608" s="50"/>
      <c r="B608" s="50"/>
      <c r="C608" s="52"/>
      <c r="D608" s="50"/>
      <c r="E608" s="48"/>
      <c r="F608" s="48"/>
      <c r="G608" s="48"/>
      <c r="H608" s="48"/>
      <c r="I608" s="38">
        <v>400</v>
      </c>
      <c r="J608" s="48"/>
      <c r="K608" s="48"/>
      <c r="L608" s="48"/>
      <c r="M608" s="48"/>
      <c r="N608" s="48"/>
      <c r="O608" s="50"/>
      <c r="P608" s="52"/>
    </row>
    <row r="609" spans="1:16" ht="15">
      <c r="A609" s="49" t="s">
        <v>1956</v>
      </c>
      <c r="B609" s="7" t="s">
        <v>969</v>
      </c>
      <c r="C609" s="51" t="s">
        <v>1958</v>
      </c>
      <c r="D609" s="49"/>
      <c r="E609" s="47"/>
      <c r="F609" s="47"/>
      <c r="G609" s="47"/>
      <c r="H609" s="47" t="s">
        <v>2123</v>
      </c>
      <c r="I609" s="47" t="s">
        <v>2124</v>
      </c>
      <c r="J609" s="47"/>
      <c r="K609" s="47"/>
      <c r="L609" s="47" t="s">
        <v>2130</v>
      </c>
      <c r="M609" s="47">
        <v>1</v>
      </c>
      <c r="N609" s="47"/>
      <c r="O609" s="49"/>
      <c r="P609" s="51"/>
    </row>
    <row r="610" spans="1:16" ht="15.75" thickBot="1">
      <c r="A610" s="50"/>
      <c r="B610" s="10" t="s">
        <v>1957</v>
      </c>
      <c r="C610" s="52"/>
      <c r="D610" s="50"/>
      <c r="E610" s="48"/>
      <c r="F610" s="48"/>
      <c r="G610" s="48"/>
      <c r="H610" s="48"/>
      <c r="I610" s="48"/>
      <c r="J610" s="48"/>
      <c r="K610" s="48"/>
      <c r="L610" s="48"/>
      <c r="M610" s="48"/>
      <c r="N610" s="48"/>
      <c r="O610" s="50"/>
      <c r="P610" s="52"/>
    </row>
    <row r="611" spans="1:16" ht="15.75" thickBot="1">
      <c r="A611" s="6" t="s">
        <v>1959</v>
      </c>
      <c r="B611" s="10" t="s">
        <v>1960</v>
      </c>
      <c r="C611" s="11" t="s">
        <v>1961</v>
      </c>
      <c r="D611" s="10" t="s">
        <v>2128</v>
      </c>
      <c r="E611" s="38" t="s">
        <v>2149</v>
      </c>
      <c r="F611" s="38">
        <v>23</v>
      </c>
      <c r="G611" s="38"/>
      <c r="H611" s="38" t="s">
        <v>2687</v>
      </c>
      <c r="I611" s="38" t="s">
        <v>2124</v>
      </c>
      <c r="J611" s="38"/>
      <c r="K611" s="38" t="s">
        <v>2188</v>
      </c>
      <c r="L611" s="38" t="s">
        <v>2130</v>
      </c>
      <c r="M611" s="38">
        <v>1</v>
      </c>
      <c r="N611" s="38" t="s">
        <v>2144</v>
      </c>
      <c r="O611" s="10"/>
      <c r="P611" s="25" t="str">
        <f>HYPERLINK("http://biade.itrust.de/biade/lpext.dll?f=id&amp;id=biadb%3Ar%3A038420&amp;t=main-h.htm","38420")</f>
        <v>38420</v>
      </c>
    </row>
    <row r="612" spans="1:16" ht="15.75" thickBot="1">
      <c r="A612" s="6" t="s">
        <v>1962</v>
      </c>
      <c r="B612" s="10" t="s">
        <v>1128</v>
      </c>
      <c r="C612" s="11" t="s">
        <v>1963</v>
      </c>
      <c r="D612" s="10" t="s">
        <v>1229</v>
      </c>
      <c r="E612" s="38" t="s">
        <v>1964</v>
      </c>
      <c r="F612" s="38" t="s">
        <v>1231</v>
      </c>
      <c r="G612" s="38" t="s">
        <v>1965</v>
      </c>
      <c r="H612" s="38" t="s">
        <v>1232</v>
      </c>
      <c r="I612" s="38" t="s">
        <v>2124</v>
      </c>
      <c r="J612" s="38"/>
      <c r="K612" s="38" t="s">
        <v>2187</v>
      </c>
      <c r="L612" s="38" t="s">
        <v>2130</v>
      </c>
      <c r="M612" s="38">
        <v>3</v>
      </c>
      <c r="N612" s="38"/>
      <c r="O612" s="10"/>
      <c r="P612" s="25" t="str">
        <f>HYPERLINK("http://biade.itrust.de/biade/lpext.dll?f=id&amp;id=biadb%3Ar%3A027770&amp;t=main-h.htm","27770")</f>
        <v>27770</v>
      </c>
    </row>
    <row r="613" spans="1:16" ht="15.75" thickBot="1">
      <c r="A613" s="6" t="s">
        <v>944</v>
      </c>
      <c r="B613" s="10" t="s">
        <v>1966</v>
      </c>
      <c r="C613" s="11" t="s">
        <v>1967</v>
      </c>
      <c r="D613" s="10" t="s">
        <v>2128</v>
      </c>
      <c r="E613" s="38" t="s">
        <v>2699</v>
      </c>
      <c r="F613" s="38" t="s">
        <v>1968</v>
      </c>
      <c r="G613" s="38"/>
      <c r="H613" s="38" t="s">
        <v>2687</v>
      </c>
      <c r="I613" s="38" t="s">
        <v>2124</v>
      </c>
      <c r="J613" s="38"/>
      <c r="K613" s="38"/>
      <c r="L613" s="38" t="s">
        <v>2165</v>
      </c>
      <c r="M613" s="38">
        <v>2</v>
      </c>
      <c r="N613" s="38" t="s">
        <v>2144</v>
      </c>
      <c r="O613" s="10"/>
      <c r="P613" s="25" t="str">
        <f>HYPERLINK("http://biade.itrust.de/biade/lpext.dll?f=id&amp;id=biadb%3Ar%3A010700&amp;t=main-h.htm","10700")</f>
        <v>10700</v>
      </c>
    </row>
    <row r="614" spans="1:16" ht="22.5" customHeight="1">
      <c r="A614" s="49" t="s">
        <v>945</v>
      </c>
      <c r="B614" s="49" t="s">
        <v>1969</v>
      </c>
      <c r="C614" s="51" t="s">
        <v>1970</v>
      </c>
      <c r="D614" s="49" t="s">
        <v>3961</v>
      </c>
      <c r="E614" s="47" t="s">
        <v>1971</v>
      </c>
      <c r="F614" s="47" t="s">
        <v>2964</v>
      </c>
      <c r="G614" s="47" t="s">
        <v>1972</v>
      </c>
      <c r="H614" s="47" t="s">
        <v>2687</v>
      </c>
      <c r="I614" s="39" t="s">
        <v>1973</v>
      </c>
      <c r="J614" s="47">
        <v>1</v>
      </c>
      <c r="K614" s="47"/>
      <c r="L614" s="47" t="s">
        <v>2165</v>
      </c>
      <c r="M614" s="47">
        <v>1</v>
      </c>
      <c r="N614" s="47" t="s">
        <v>1974</v>
      </c>
      <c r="O614" s="49"/>
      <c r="P614" s="51"/>
    </row>
    <row r="615" spans="1:16" ht="15.75" thickBot="1">
      <c r="A615" s="50"/>
      <c r="B615" s="50"/>
      <c r="C615" s="52"/>
      <c r="D615" s="50"/>
      <c r="E615" s="48"/>
      <c r="F615" s="48"/>
      <c r="G615" s="48"/>
      <c r="H615" s="48"/>
      <c r="I615" s="38">
        <v>4</v>
      </c>
      <c r="J615" s="48"/>
      <c r="K615" s="48"/>
      <c r="L615" s="48"/>
      <c r="M615" s="48"/>
      <c r="N615" s="48"/>
      <c r="O615" s="50"/>
      <c r="P615" s="52"/>
    </row>
    <row r="616" spans="1:16" ht="15.75" thickBot="1">
      <c r="A616" s="6" t="s">
        <v>946</v>
      </c>
      <c r="B616" s="10" t="s">
        <v>1975</v>
      </c>
      <c r="C616" s="11" t="s">
        <v>1976</v>
      </c>
      <c r="D616" s="10" t="s">
        <v>3961</v>
      </c>
      <c r="E616" s="38" t="s">
        <v>1977</v>
      </c>
      <c r="F616" s="38" t="s">
        <v>1978</v>
      </c>
      <c r="G616" s="38" t="s">
        <v>1979</v>
      </c>
      <c r="H616" s="38" t="s">
        <v>1282</v>
      </c>
      <c r="I616" s="38" t="s">
        <v>2124</v>
      </c>
      <c r="J616" s="38"/>
      <c r="K616" s="38"/>
      <c r="L616" s="38" t="s">
        <v>2165</v>
      </c>
      <c r="M616" s="38">
        <v>3</v>
      </c>
      <c r="N616" s="38" t="s">
        <v>1980</v>
      </c>
      <c r="O616" s="10"/>
      <c r="P616" s="25" t="str">
        <f>HYPERLINK("http://biade.itrust.de/biade/lpext.dll?f=id&amp;id=biadb%3Ar%3A013050&amp;t=main-h.htm","13050")</f>
        <v>13050</v>
      </c>
    </row>
    <row r="617" spans="1:16" ht="22.5" customHeight="1">
      <c r="A617" s="49" t="s">
        <v>947</v>
      </c>
      <c r="B617" s="53" t="s">
        <v>1127</v>
      </c>
      <c r="C617" s="51" t="s">
        <v>1981</v>
      </c>
      <c r="D617" s="49" t="s">
        <v>4010</v>
      </c>
      <c r="E617" s="47" t="s">
        <v>1982</v>
      </c>
      <c r="F617" s="47" t="s">
        <v>1983</v>
      </c>
      <c r="G617" s="47" t="s">
        <v>1984</v>
      </c>
      <c r="H617" s="47" t="s">
        <v>2901</v>
      </c>
      <c r="I617" s="39">
        <v>0.035</v>
      </c>
      <c r="J617" s="47" t="s">
        <v>1985</v>
      </c>
      <c r="K617" s="47"/>
      <c r="L617" s="47" t="s">
        <v>2165</v>
      </c>
      <c r="M617" s="47">
        <v>2</v>
      </c>
      <c r="N617" s="47" t="s">
        <v>4012</v>
      </c>
      <c r="O617" s="49"/>
      <c r="P617" s="51"/>
    </row>
    <row r="618" spans="1:16" ht="15.75" thickBot="1">
      <c r="A618" s="50"/>
      <c r="B618" s="54"/>
      <c r="C618" s="52"/>
      <c r="D618" s="50"/>
      <c r="E618" s="48"/>
      <c r="F618" s="48"/>
      <c r="G618" s="48"/>
      <c r="H618" s="48"/>
      <c r="I618" s="38">
        <v>0.005</v>
      </c>
      <c r="J618" s="48"/>
      <c r="K618" s="48"/>
      <c r="L618" s="48"/>
      <c r="M618" s="48"/>
      <c r="N618" s="48"/>
      <c r="O618" s="50"/>
      <c r="P618" s="52"/>
    </row>
    <row r="619" spans="1:16" ht="15">
      <c r="A619" s="49" t="s">
        <v>948</v>
      </c>
      <c r="B619" s="7" t="s">
        <v>1986</v>
      </c>
      <c r="C619" s="51" t="s">
        <v>1987</v>
      </c>
      <c r="D619" s="49" t="s">
        <v>4010</v>
      </c>
      <c r="E619" s="47" t="s">
        <v>1982</v>
      </c>
      <c r="F619" s="47" t="s">
        <v>1983</v>
      </c>
      <c r="G619" s="47" t="s">
        <v>1984</v>
      </c>
      <c r="H619" s="47" t="s">
        <v>2901</v>
      </c>
      <c r="I619" s="39">
        <v>0.035</v>
      </c>
      <c r="J619" s="47" t="s">
        <v>1988</v>
      </c>
      <c r="K619" s="47"/>
      <c r="L619" s="47" t="s">
        <v>2165</v>
      </c>
      <c r="M619" s="47">
        <v>2</v>
      </c>
      <c r="N619" s="47" t="s">
        <v>4012</v>
      </c>
      <c r="O619" s="49"/>
      <c r="P619" s="51"/>
    </row>
    <row r="620" spans="1:16" ht="26.25" thickBot="1">
      <c r="A620" s="50"/>
      <c r="B620" s="10" t="s">
        <v>1126</v>
      </c>
      <c r="C620" s="52"/>
      <c r="D620" s="50"/>
      <c r="E620" s="48"/>
      <c r="F620" s="48"/>
      <c r="G620" s="48"/>
      <c r="H620" s="48"/>
      <c r="I620" s="38">
        <v>0.005</v>
      </c>
      <c r="J620" s="48"/>
      <c r="K620" s="48"/>
      <c r="L620" s="48"/>
      <c r="M620" s="48"/>
      <c r="N620" s="48"/>
      <c r="O620" s="50"/>
      <c r="P620" s="52"/>
    </row>
    <row r="621" spans="1:16" ht="15">
      <c r="A621" s="49" t="s">
        <v>949</v>
      </c>
      <c r="B621" s="19" t="s">
        <v>1989</v>
      </c>
      <c r="C621" s="51" t="s">
        <v>1990</v>
      </c>
      <c r="D621" s="49" t="s">
        <v>4010</v>
      </c>
      <c r="E621" s="47" t="s">
        <v>1982</v>
      </c>
      <c r="F621" s="47" t="s">
        <v>1983</v>
      </c>
      <c r="G621" s="47" t="s">
        <v>1984</v>
      </c>
      <c r="H621" s="47" t="s">
        <v>2901</v>
      </c>
      <c r="I621" s="42">
        <v>0.035</v>
      </c>
      <c r="J621" s="47" t="s">
        <v>1988</v>
      </c>
      <c r="K621" s="47"/>
      <c r="L621" s="47" t="s">
        <v>2165</v>
      </c>
      <c r="M621" s="47">
        <v>2</v>
      </c>
      <c r="N621" s="47" t="s">
        <v>4012</v>
      </c>
      <c r="O621" s="49"/>
      <c r="P621" s="51"/>
    </row>
    <row r="622" spans="1:16" ht="26.25" thickBot="1">
      <c r="A622" s="50"/>
      <c r="B622" s="10" t="s">
        <v>1125</v>
      </c>
      <c r="C622" s="52"/>
      <c r="D622" s="50"/>
      <c r="E622" s="48"/>
      <c r="F622" s="48"/>
      <c r="G622" s="48"/>
      <c r="H622" s="48"/>
      <c r="I622" s="38">
        <v>0.005</v>
      </c>
      <c r="J622" s="48"/>
      <c r="K622" s="48"/>
      <c r="L622" s="48"/>
      <c r="M622" s="48"/>
      <c r="N622" s="48"/>
      <c r="O622" s="50"/>
      <c r="P622" s="52"/>
    </row>
    <row r="623" spans="1:16" ht="15.75" thickBot="1">
      <c r="A623" s="6" t="s">
        <v>950</v>
      </c>
      <c r="B623" s="18" t="s">
        <v>1991</v>
      </c>
      <c r="C623" s="11" t="s">
        <v>1992</v>
      </c>
      <c r="D623" s="10" t="s">
        <v>1229</v>
      </c>
      <c r="E623" s="38" t="s">
        <v>1993</v>
      </c>
      <c r="F623" s="38" t="s">
        <v>1231</v>
      </c>
      <c r="G623" s="38" t="s">
        <v>2180</v>
      </c>
      <c r="H623" s="38" t="s">
        <v>1232</v>
      </c>
      <c r="I623" s="38" t="s">
        <v>2124</v>
      </c>
      <c r="J623" s="38"/>
      <c r="K623" s="38" t="s">
        <v>2187</v>
      </c>
      <c r="L623" s="38" t="s">
        <v>2165</v>
      </c>
      <c r="M623" s="38">
        <v>3</v>
      </c>
      <c r="N623" s="38"/>
      <c r="O623" s="10"/>
      <c r="P623" s="25" t="str">
        <f>HYPERLINK("http://biade.itrust.de/biade/lpext.dll?f=id&amp;id=biadb%3Ar%3A017850&amp;t=main-h.htm","17850")</f>
        <v>17850</v>
      </c>
    </row>
    <row r="624" spans="1:16" ht="15">
      <c r="A624" s="49" t="s">
        <v>1994</v>
      </c>
      <c r="B624" s="7" t="s">
        <v>1124</v>
      </c>
      <c r="C624" s="51" t="s">
        <v>1995</v>
      </c>
      <c r="D624" s="49" t="s">
        <v>1229</v>
      </c>
      <c r="E624" s="47" t="s">
        <v>1996</v>
      </c>
      <c r="F624" s="47" t="s">
        <v>879</v>
      </c>
      <c r="G624" s="47"/>
      <c r="H624" s="47" t="s">
        <v>1282</v>
      </c>
      <c r="I624" s="47" t="s">
        <v>2124</v>
      </c>
      <c r="J624" s="47"/>
      <c r="K624" s="47" t="s">
        <v>2189</v>
      </c>
      <c r="L624" s="47" t="s">
        <v>2130</v>
      </c>
      <c r="M624" s="47">
        <v>3</v>
      </c>
      <c r="N624" s="47" t="s">
        <v>1997</v>
      </c>
      <c r="O624" s="49"/>
      <c r="P624" s="51"/>
    </row>
    <row r="625" spans="1:16" ht="15.75" thickBot="1">
      <c r="A625" s="50"/>
      <c r="B625" s="10" t="s">
        <v>1262</v>
      </c>
      <c r="C625" s="52"/>
      <c r="D625" s="50"/>
      <c r="E625" s="48"/>
      <c r="F625" s="48"/>
      <c r="G625" s="48"/>
      <c r="H625" s="48"/>
      <c r="I625" s="48"/>
      <c r="J625" s="48"/>
      <c r="K625" s="48"/>
      <c r="L625" s="48"/>
      <c r="M625" s="48"/>
      <c r="N625" s="48"/>
      <c r="O625" s="50"/>
      <c r="P625" s="52"/>
    </row>
    <row r="626" spans="1:16" ht="22.5" customHeight="1">
      <c r="A626" s="49" t="s">
        <v>951</v>
      </c>
      <c r="B626" s="49"/>
      <c r="C626" s="51" t="s">
        <v>1998</v>
      </c>
      <c r="D626" s="49" t="s">
        <v>1229</v>
      </c>
      <c r="E626" s="47" t="s">
        <v>1999</v>
      </c>
      <c r="F626" s="47" t="s">
        <v>1231</v>
      </c>
      <c r="G626" s="47" t="s">
        <v>2000</v>
      </c>
      <c r="H626" s="47" t="s">
        <v>2567</v>
      </c>
      <c r="I626" s="39">
        <v>36</v>
      </c>
      <c r="J626" s="47">
        <v>2</v>
      </c>
      <c r="K626" s="47" t="s">
        <v>2189</v>
      </c>
      <c r="L626" s="47" t="s">
        <v>2130</v>
      </c>
      <c r="M626" s="47">
        <v>1</v>
      </c>
      <c r="N626" s="47" t="s">
        <v>2001</v>
      </c>
      <c r="O626" s="49"/>
      <c r="P626" s="51"/>
    </row>
    <row r="627" spans="1:16" ht="15.75" thickBot="1">
      <c r="A627" s="50"/>
      <c r="B627" s="50"/>
      <c r="C627" s="52"/>
      <c r="D627" s="50"/>
      <c r="E627" s="48"/>
      <c r="F627" s="48"/>
      <c r="G627" s="48"/>
      <c r="H627" s="48"/>
      <c r="I627" s="38">
        <v>10</v>
      </c>
      <c r="J627" s="48"/>
      <c r="K627" s="48"/>
      <c r="L627" s="48"/>
      <c r="M627" s="48"/>
      <c r="N627" s="48"/>
      <c r="O627" s="50"/>
      <c r="P627" s="52"/>
    </row>
    <row r="628" spans="1:16" ht="15">
      <c r="A628" s="49" t="s">
        <v>2002</v>
      </c>
      <c r="B628" s="49" t="s">
        <v>2003</v>
      </c>
      <c r="C628" s="51"/>
      <c r="D628" s="49" t="s">
        <v>3795</v>
      </c>
      <c r="E628" s="47" t="s">
        <v>2004</v>
      </c>
      <c r="F628" s="47" t="s">
        <v>3945</v>
      </c>
      <c r="G628" s="47"/>
      <c r="H628" s="47" t="s">
        <v>2718</v>
      </c>
      <c r="I628" s="39">
        <v>3.7</v>
      </c>
      <c r="J628" s="47">
        <v>2</v>
      </c>
      <c r="K628" s="47" t="s">
        <v>2533</v>
      </c>
      <c r="L628" s="47" t="s">
        <v>2130</v>
      </c>
      <c r="M628" s="47">
        <v>2</v>
      </c>
      <c r="N628" s="47"/>
      <c r="O628" s="49"/>
      <c r="P628" s="51"/>
    </row>
    <row r="629" spans="1:16" ht="15.75" thickBot="1">
      <c r="A629" s="50"/>
      <c r="B629" s="50"/>
      <c r="C629" s="52"/>
      <c r="D629" s="50"/>
      <c r="E629" s="48"/>
      <c r="F629" s="48"/>
      <c r="G629" s="48"/>
      <c r="H629" s="48"/>
      <c r="I629" s="38">
        <v>2</v>
      </c>
      <c r="J629" s="48"/>
      <c r="K629" s="48"/>
      <c r="L629" s="48"/>
      <c r="M629" s="48"/>
      <c r="N629" s="48"/>
      <c r="O629" s="50"/>
      <c r="P629" s="52"/>
    </row>
    <row r="630" spans="1:16" ht="26.25" thickBot="1">
      <c r="A630" s="6" t="s">
        <v>2005</v>
      </c>
      <c r="B630" s="10" t="s">
        <v>2006</v>
      </c>
      <c r="C630" s="11" t="s">
        <v>2007</v>
      </c>
      <c r="D630" s="10" t="s">
        <v>2128</v>
      </c>
      <c r="E630" s="38">
        <v>22</v>
      </c>
      <c r="F630" s="38" t="s">
        <v>4026</v>
      </c>
      <c r="G630" s="38"/>
      <c r="H630" s="38" t="s">
        <v>2687</v>
      </c>
      <c r="I630" s="38" t="s">
        <v>2124</v>
      </c>
      <c r="J630" s="38"/>
      <c r="K630" s="38"/>
      <c r="L630" s="38" t="s">
        <v>2165</v>
      </c>
      <c r="M630" s="38">
        <v>1</v>
      </c>
      <c r="N630" s="38"/>
      <c r="O630" s="10"/>
      <c r="P630" s="25" t="str">
        <f>HYPERLINK("http://biade.itrust.de/biade/lpext.dll?f=id&amp;id=biadb%3Ar%3A026680&amp;t=main-h.htm","26680")</f>
        <v>26680</v>
      </c>
    </row>
    <row r="631" spans="1:16" ht="26.25" thickBot="1">
      <c r="A631" s="6" t="s">
        <v>952</v>
      </c>
      <c r="B631" s="10" t="s">
        <v>2008</v>
      </c>
      <c r="C631" s="11" t="s">
        <v>2009</v>
      </c>
      <c r="D631" s="10"/>
      <c r="E631" s="38"/>
      <c r="F631" s="38"/>
      <c r="G631" s="38"/>
      <c r="H631" s="38" t="s">
        <v>2123</v>
      </c>
      <c r="I631" s="38" t="s">
        <v>2124</v>
      </c>
      <c r="J631" s="38"/>
      <c r="K631" s="38"/>
      <c r="L631" s="38" t="s">
        <v>2165</v>
      </c>
      <c r="M631" s="38">
        <v>1</v>
      </c>
      <c r="N631" s="38"/>
      <c r="O631" s="10"/>
      <c r="P631" s="11"/>
    </row>
    <row r="632" spans="1:16" ht="22.5" customHeight="1">
      <c r="A632" s="49" t="s">
        <v>986</v>
      </c>
      <c r="B632" s="7" t="s">
        <v>2010</v>
      </c>
      <c r="C632" s="51" t="s">
        <v>2011</v>
      </c>
      <c r="D632" s="49" t="s">
        <v>1229</v>
      </c>
      <c r="E632" s="47" t="s">
        <v>2012</v>
      </c>
      <c r="F632" s="47" t="s">
        <v>4073</v>
      </c>
      <c r="G632" s="47"/>
      <c r="H632" s="47" t="s">
        <v>1282</v>
      </c>
      <c r="I632" s="47" t="s">
        <v>2124</v>
      </c>
      <c r="J632" s="47"/>
      <c r="K632" s="47" t="s">
        <v>2157</v>
      </c>
      <c r="L632" s="47" t="s">
        <v>2165</v>
      </c>
      <c r="M632" s="47">
        <v>3</v>
      </c>
      <c r="N632" s="47" t="s">
        <v>2013</v>
      </c>
      <c r="O632" s="49"/>
      <c r="P632" s="51"/>
    </row>
    <row r="633" spans="1:16" ht="15.75" thickBot="1">
      <c r="A633" s="50"/>
      <c r="B633" s="10" t="s">
        <v>1262</v>
      </c>
      <c r="C633" s="52"/>
      <c r="D633" s="50"/>
      <c r="E633" s="48"/>
      <c r="F633" s="48"/>
      <c r="G633" s="48"/>
      <c r="H633" s="48"/>
      <c r="I633" s="48"/>
      <c r="J633" s="48"/>
      <c r="K633" s="48"/>
      <c r="L633" s="48"/>
      <c r="M633" s="48"/>
      <c r="N633" s="48"/>
      <c r="O633" s="50"/>
      <c r="P633" s="52"/>
    </row>
    <row r="634" spans="1:16" ht="26.25" thickBot="1">
      <c r="A634" s="6" t="s">
        <v>953</v>
      </c>
      <c r="B634" s="10" t="s">
        <v>2121</v>
      </c>
      <c r="C634" s="11" t="s">
        <v>2014</v>
      </c>
      <c r="D634" s="10" t="s">
        <v>2227</v>
      </c>
      <c r="E634" s="38">
        <v>34</v>
      </c>
      <c r="F634" s="38" t="s">
        <v>3884</v>
      </c>
      <c r="G634" s="38"/>
      <c r="H634" s="38" t="s">
        <v>2687</v>
      </c>
      <c r="I634" s="38" t="s">
        <v>2124</v>
      </c>
      <c r="J634" s="38"/>
      <c r="K634" s="38"/>
      <c r="L634" s="38" t="s">
        <v>2165</v>
      </c>
      <c r="M634" s="38">
        <v>3</v>
      </c>
      <c r="N634" s="38"/>
      <c r="O634" s="10"/>
      <c r="P634" s="11"/>
    </row>
    <row r="635" spans="1:16" ht="15">
      <c r="A635" s="49" t="s">
        <v>2015</v>
      </c>
      <c r="B635" s="49"/>
      <c r="C635" s="51" t="s">
        <v>2016</v>
      </c>
      <c r="D635" s="49" t="s">
        <v>2152</v>
      </c>
      <c r="E635" s="47" t="s">
        <v>2017</v>
      </c>
      <c r="F635" s="47" t="s">
        <v>879</v>
      </c>
      <c r="G635" s="47" t="s">
        <v>4074</v>
      </c>
      <c r="H635" s="47" t="s">
        <v>1282</v>
      </c>
      <c r="I635" s="39">
        <v>25</v>
      </c>
      <c r="J635" s="47">
        <v>2</v>
      </c>
      <c r="K635" s="47" t="s">
        <v>2189</v>
      </c>
      <c r="L635" s="47" t="s">
        <v>2130</v>
      </c>
      <c r="M635" s="47">
        <v>2</v>
      </c>
      <c r="N635" s="47" t="s">
        <v>2018</v>
      </c>
      <c r="O635" s="49"/>
      <c r="P635" s="51"/>
    </row>
    <row r="636" spans="1:16" ht="15.75" thickBot="1">
      <c r="A636" s="50"/>
      <c r="B636" s="50"/>
      <c r="C636" s="52"/>
      <c r="D636" s="50"/>
      <c r="E636" s="48"/>
      <c r="F636" s="48"/>
      <c r="G636" s="48"/>
      <c r="H636" s="48"/>
      <c r="I636" s="38">
        <v>5</v>
      </c>
      <c r="J636" s="48"/>
      <c r="K636" s="48"/>
      <c r="L636" s="48"/>
      <c r="M636" s="48"/>
      <c r="N636" s="48"/>
      <c r="O636" s="50"/>
      <c r="P636" s="52"/>
    </row>
    <row r="637" spans="1:16" ht="26.25" thickBot="1">
      <c r="A637" s="6" t="s">
        <v>2019</v>
      </c>
      <c r="B637" s="10" t="s">
        <v>2020</v>
      </c>
      <c r="C637" s="11" t="s">
        <v>2021</v>
      </c>
      <c r="D637" s="10"/>
      <c r="E637" s="38"/>
      <c r="F637" s="38" t="s">
        <v>3856</v>
      </c>
      <c r="G637" s="38"/>
      <c r="H637" s="38" t="s">
        <v>2123</v>
      </c>
      <c r="I637" s="38" t="s">
        <v>2124</v>
      </c>
      <c r="J637" s="38"/>
      <c r="K637" s="38"/>
      <c r="L637" s="38" t="s">
        <v>2165</v>
      </c>
      <c r="M637" s="38"/>
      <c r="N637" s="38"/>
      <c r="O637" s="10"/>
      <c r="P637" s="11"/>
    </row>
    <row r="638" spans="1:16" ht="15">
      <c r="A638" s="49" t="s">
        <v>2022</v>
      </c>
      <c r="B638" s="49"/>
      <c r="C638" s="51" t="s">
        <v>2023</v>
      </c>
      <c r="D638" s="49" t="s">
        <v>2476</v>
      </c>
      <c r="E638" s="47">
        <v>12</v>
      </c>
      <c r="F638" s="47" t="s">
        <v>2507</v>
      </c>
      <c r="G638" s="47"/>
      <c r="H638" s="47" t="s">
        <v>1275</v>
      </c>
      <c r="I638" s="39">
        <v>1900</v>
      </c>
      <c r="J638" s="47">
        <v>8</v>
      </c>
      <c r="K638" s="47" t="s">
        <v>2024</v>
      </c>
      <c r="L638" s="47" t="s">
        <v>2201</v>
      </c>
      <c r="M638" s="47">
        <v>1</v>
      </c>
      <c r="N638" s="47"/>
      <c r="O638" s="49"/>
      <c r="P638" s="51"/>
    </row>
    <row r="639" spans="1:16" ht="15.75" thickBot="1">
      <c r="A639" s="50"/>
      <c r="B639" s="50"/>
      <c r="C639" s="52"/>
      <c r="D639" s="50"/>
      <c r="E639" s="48"/>
      <c r="F639" s="48"/>
      <c r="G639" s="48"/>
      <c r="H639" s="48"/>
      <c r="I639" s="38">
        <v>100</v>
      </c>
      <c r="J639" s="48"/>
      <c r="K639" s="48"/>
      <c r="L639" s="48"/>
      <c r="M639" s="48"/>
      <c r="N639" s="48"/>
      <c r="O639" s="50"/>
      <c r="P639" s="52"/>
    </row>
    <row r="640" spans="1:16" ht="15" customHeight="1">
      <c r="A640" s="49" t="s">
        <v>954</v>
      </c>
      <c r="B640" s="49" t="s">
        <v>2025</v>
      </c>
      <c r="C640" s="51" t="s">
        <v>2026</v>
      </c>
      <c r="D640" s="49" t="s">
        <v>1229</v>
      </c>
      <c r="E640" s="47" t="s">
        <v>2027</v>
      </c>
      <c r="F640" s="47" t="s">
        <v>1231</v>
      </c>
      <c r="G640" s="47" t="s">
        <v>2028</v>
      </c>
      <c r="H640" s="47" t="s">
        <v>2567</v>
      </c>
      <c r="I640" s="39">
        <v>30</v>
      </c>
      <c r="J640" s="47">
        <v>2</v>
      </c>
      <c r="K640" s="47" t="s">
        <v>2189</v>
      </c>
      <c r="L640" s="47" t="s">
        <v>2130</v>
      </c>
      <c r="M640" s="47">
        <v>1</v>
      </c>
      <c r="N640" s="47"/>
      <c r="O640" s="49"/>
      <c r="P640" s="51"/>
    </row>
    <row r="641" spans="1:16" ht="15.75" thickBot="1">
      <c r="A641" s="50"/>
      <c r="B641" s="50"/>
      <c r="C641" s="52"/>
      <c r="D641" s="50"/>
      <c r="E641" s="48"/>
      <c r="F641" s="48"/>
      <c r="G641" s="48"/>
      <c r="H641" s="48"/>
      <c r="I641" s="38">
        <v>10</v>
      </c>
      <c r="J641" s="48"/>
      <c r="K641" s="48"/>
      <c r="L641" s="48"/>
      <c r="M641" s="48"/>
      <c r="N641" s="48"/>
      <c r="O641" s="50"/>
      <c r="P641" s="52"/>
    </row>
    <row r="642" spans="1:16" ht="15">
      <c r="A642" s="49" t="s">
        <v>2029</v>
      </c>
      <c r="B642" s="7" t="s">
        <v>1123</v>
      </c>
      <c r="C642" s="51" t="s">
        <v>2030</v>
      </c>
      <c r="D642" s="49"/>
      <c r="E642" s="47"/>
      <c r="F642" s="47"/>
      <c r="G642" s="47"/>
      <c r="H642" s="47" t="s">
        <v>2123</v>
      </c>
      <c r="I642" s="47" t="s">
        <v>2124</v>
      </c>
      <c r="J642" s="47"/>
      <c r="K642" s="47"/>
      <c r="L642" s="47" t="s">
        <v>2165</v>
      </c>
      <c r="M642" s="47">
        <v>2</v>
      </c>
      <c r="N642" s="47"/>
      <c r="O642" s="49"/>
      <c r="P642" s="51"/>
    </row>
    <row r="643" spans="1:16" ht="39" customHeight="1" thickBot="1">
      <c r="A643" s="50"/>
      <c r="B643" s="10" t="s">
        <v>1122</v>
      </c>
      <c r="C643" s="52"/>
      <c r="D643" s="50"/>
      <c r="E643" s="48"/>
      <c r="F643" s="48"/>
      <c r="G643" s="48"/>
      <c r="H643" s="48"/>
      <c r="I643" s="48"/>
      <c r="J643" s="48"/>
      <c r="K643" s="48"/>
      <c r="L643" s="48"/>
      <c r="M643" s="48"/>
      <c r="N643" s="48"/>
      <c r="O643" s="50"/>
      <c r="P643" s="52"/>
    </row>
    <row r="644" spans="1:16" ht="15.75" thickBot="1">
      <c r="A644" s="6" t="s">
        <v>2031</v>
      </c>
      <c r="B644" s="10" t="s">
        <v>2032</v>
      </c>
      <c r="C644" s="11" t="s">
        <v>2033</v>
      </c>
      <c r="D644" s="10" t="s">
        <v>2152</v>
      </c>
      <c r="E644" s="38" t="s">
        <v>2034</v>
      </c>
      <c r="F644" s="38" t="s">
        <v>1244</v>
      </c>
      <c r="G644" s="38"/>
      <c r="H644" s="38" t="s">
        <v>1282</v>
      </c>
      <c r="I644" s="38" t="s">
        <v>2124</v>
      </c>
      <c r="J644" s="38"/>
      <c r="K644" s="38" t="s">
        <v>2189</v>
      </c>
      <c r="L644" s="38" t="s">
        <v>2165</v>
      </c>
      <c r="M644" s="38">
        <v>2</v>
      </c>
      <c r="N644" s="38" t="s">
        <v>2798</v>
      </c>
      <c r="O644" s="10"/>
      <c r="P644" s="25" t="str">
        <f>HYPERLINK("http://biade.itrust.de/biade/lpext.dll?f=id&amp;id=biadb%3Ar%3A038870&amp;t=main-h.htm","38870")</f>
        <v>38870</v>
      </c>
    </row>
    <row r="645" spans="1:16" ht="26.25" thickBot="1">
      <c r="A645" s="6" t="s">
        <v>2035</v>
      </c>
      <c r="B645" s="10" t="s">
        <v>1121</v>
      </c>
      <c r="C645" s="11" t="s">
        <v>2036</v>
      </c>
      <c r="D645" s="10"/>
      <c r="E645" s="38"/>
      <c r="F645" s="38"/>
      <c r="G645" s="38"/>
      <c r="H645" s="38" t="s">
        <v>2123</v>
      </c>
      <c r="I645" s="38" t="s">
        <v>2124</v>
      </c>
      <c r="J645" s="38"/>
      <c r="K645" s="38"/>
      <c r="L645" s="38" t="s">
        <v>2165</v>
      </c>
      <c r="M645" s="38">
        <v>1</v>
      </c>
      <c r="N645" s="38"/>
      <c r="O645" s="10"/>
      <c r="P645" s="25" t="str">
        <f>HYPERLINK("http://biade.itrust.de/biade/lpext.dll?f=id&amp;id=biadb%3Ar%3A012790&amp;t=main-h.htm","12790")</f>
        <v>12790</v>
      </c>
    </row>
    <row r="646" spans="1:16" ht="15">
      <c r="A646" s="49" t="s">
        <v>2037</v>
      </c>
      <c r="B646" s="53" t="s">
        <v>2038</v>
      </c>
      <c r="C646" s="51" t="s">
        <v>2039</v>
      </c>
      <c r="D646" s="49" t="s">
        <v>2040</v>
      </c>
      <c r="E646" s="47" t="s">
        <v>2041</v>
      </c>
      <c r="F646" s="47" t="s">
        <v>2042</v>
      </c>
      <c r="G646" s="47"/>
      <c r="H646" s="47" t="s">
        <v>501</v>
      </c>
      <c r="I646" s="39">
        <v>3000</v>
      </c>
      <c r="J646" s="47">
        <v>2</v>
      </c>
      <c r="K646" s="47" t="s">
        <v>2024</v>
      </c>
      <c r="L646" s="47" t="s">
        <v>2201</v>
      </c>
      <c r="M646" s="47">
        <v>1</v>
      </c>
      <c r="N646" s="47"/>
      <c r="O646" s="49"/>
      <c r="P646" s="51"/>
    </row>
    <row r="647" spans="1:16" ht="15.75" thickBot="1">
      <c r="A647" s="50"/>
      <c r="B647" s="54"/>
      <c r="C647" s="52"/>
      <c r="D647" s="50"/>
      <c r="E647" s="48"/>
      <c r="F647" s="48"/>
      <c r="G647" s="48"/>
      <c r="H647" s="48"/>
      <c r="I647" s="38">
        <v>1000</v>
      </c>
      <c r="J647" s="48"/>
      <c r="K647" s="48"/>
      <c r="L647" s="48"/>
      <c r="M647" s="48"/>
      <c r="N647" s="48"/>
      <c r="O647" s="50"/>
      <c r="P647" s="52"/>
    </row>
    <row r="648" spans="1:16" ht="15.75" thickBot="1">
      <c r="A648" s="6" t="s">
        <v>2209</v>
      </c>
      <c r="B648" s="10" t="s">
        <v>2043</v>
      </c>
      <c r="C648" s="11" t="s">
        <v>2044</v>
      </c>
      <c r="D648" s="10" t="s">
        <v>4010</v>
      </c>
      <c r="E648" s="38" t="s">
        <v>2045</v>
      </c>
      <c r="F648" s="38" t="s">
        <v>1231</v>
      </c>
      <c r="G648" s="38" t="s">
        <v>2046</v>
      </c>
      <c r="H648" s="38" t="s">
        <v>1232</v>
      </c>
      <c r="I648" s="38" t="s">
        <v>2124</v>
      </c>
      <c r="J648" s="38"/>
      <c r="K648" s="38" t="s">
        <v>2187</v>
      </c>
      <c r="L648" s="38" t="s">
        <v>2130</v>
      </c>
      <c r="M648" s="38">
        <v>2</v>
      </c>
      <c r="N648" s="38"/>
      <c r="O648" s="10"/>
      <c r="P648" s="25" t="str">
        <f>HYPERLINK("http://biade.itrust.de/biade/lpext.dll?f=id&amp;id=biadb%3Ar%3A010580&amp;t=main-h.htm","10580")</f>
        <v>10580</v>
      </c>
    </row>
    <row r="649" spans="1:16" ht="15.75" thickBot="1">
      <c r="A649" s="6" t="s">
        <v>2047</v>
      </c>
      <c r="B649" s="10" t="s">
        <v>2048</v>
      </c>
      <c r="C649" s="11" t="s">
        <v>2049</v>
      </c>
      <c r="D649" s="10"/>
      <c r="E649" s="38"/>
      <c r="F649" s="38"/>
      <c r="G649" s="38" t="s">
        <v>2183</v>
      </c>
      <c r="H649" s="38" t="s">
        <v>2123</v>
      </c>
      <c r="I649" s="38" t="s">
        <v>2124</v>
      </c>
      <c r="J649" s="38"/>
      <c r="K649" s="38" t="s">
        <v>2188</v>
      </c>
      <c r="L649" s="38" t="s">
        <v>2130</v>
      </c>
      <c r="M649" s="38">
        <v>1</v>
      </c>
      <c r="N649" s="38"/>
      <c r="O649" s="10"/>
      <c r="P649" s="25" t="str">
        <f>HYPERLINK("http://biade.itrust.de/biade/lpext.dll?f=id&amp;id=biadb%3Ar%3A027190&amp;t=main-h.htm","27190")</f>
        <v>27190</v>
      </c>
    </row>
    <row r="650" spans="1:16" ht="15.75" thickBot="1">
      <c r="A650" s="6" t="s">
        <v>2050</v>
      </c>
      <c r="B650" s="10"/>
      <c r="C650" s="11" t="s">
        <v>2051</v>
      </c>
      <c r="D650" s="10" t="s">
        <v>1229</v>
      </c>
      <c r="E650" s="38" t="s">
        <v>2052</v>
      </c>
      <c r="F650" s="38" t="s">
        <v>2615</v>
      </c>
      <c r="G650" s="38" t="s">
        <v>4017</v>
      </c>
      <c r="H650" s="38" t="s">
        <v>1232</v>
      </c>
      <c r="I650" s="38" t="s">
        <v>2124</v>
      </c>
      <c r="J650" s="38"/>
      <c r="K650" s="38" t="s">
        <v>2187</v>
      </c>
      <c r="L650" s="38" t="s">
        <v>2136</v>
      </c>
      <c r="M650" s="38"/>
      <c r="N650" s="38"/>
      <c r="O650" s="10"/>
      <c r="P650" s="25" t="str">
        <f>HYPERLINK("http://biade.itrust.de/biade/lpext.dll?f=id&amp;id=biadb%3Ar%3A570205&amp;t=main-h.htm","570205")</f>
        <v>570205</v>
      </c>
    </row>
    <row r="651" spans="1:16" ht="15.75" thickBot="1">
      <c r="A651" s="6" t="s">
        <v>955</v>
      </c>
      <c r="B651" s="10" t="s">
        <v>2121</v>
      </c>
      <c r="C651" s="11" t="s">
        <v>2053</v>
      </c>
      <c r="D651" s="10" t="s">
        <v>4164</v>
      </c>
      <c r="E651" s="38" t="s">
        <v>2054</v>
      </c>
      <c r="F651" s="38" t="s">
        <v>2055</v>
      </c>
      <c r="G651" s="38"/>
      <c r="H651" s="38" t="s">
        <v>2901</v>
      </c>
      <c r="I651" s="38" t="s">
        <v>2124</v>
      </c>
      <c r="J651" s="38"/>
      <c r="K651" s="38" t="s">
        <v>2056</v>
      </c>
      <c r="L651" s="38" t="s">
        <v>2200</v>
      </c>
      <c r="M651" s="38">
        <v>2</v>
      </c>
      <c r="N651" s="38"/>
      <c r="O651" s="10"/>
      <c r="P651" s="11"/>
    </row>
    <row r="652" spans="1:16" ht="26.25" thickBot="1">
      <c r="A652" s="21" t="s">
        <v>2057</v>
      </c>
      <c r="B652" s="22" t="s">
        <v>1120</v>
      </c>
      <c r="C652" s="23" t="s">
        <v>2058</v>
      </c>
      <c r="D652" s="22" t="s">
        <v>828</v>
      </c>
      <c r="E652" s="43" t="s">
        <v>2059</v>
      </c>
      <c r="F652" s="43" t="s">
        <v>2060</v>
      </c>
      <c r="G652" s="43" t="s">
        <v>2184</v>
      </c>
      <c r="H652" s="43" t="s">
        <v>2901</v>
      </c>
      <c r="I652" s="43" t="s">
        <v>2124</v>
      </c>
      <c r="J652" s="43"/>
      <c r="K652" s="43" t="s">
        <v>2157</v>
      </c>
      <c r="L652" s="43" t="s">
        <v>2165</v>
      </c>
      <c r="M652" s="43">
        <v>3</v>
      </c>
      <c r="N652" s="43" t="s">
        <v>4012</v>
      </c>
      <c r="O652" s="22"/>
      <c r="P652" s="35" t="str">
        <f>HYPERLINK("http://biade.itrust.de/biade/lpext.dll?f=id&amp;id=biadb%3Ar%3A038550&amp;t=main-h.htm","38550")</f>
        <v>38550</v>
      </c>
    </row>
    <row r="653" spans="1:16" ht="15.75" thickBot="1">
      <c r="A653" s="6" t="s">
        <v>2061</v>
      </c>
      <c r="B653" s="10"/>
      <c r="C653" s="11" t="s">
        <v>2062</v>
      </c>
      <c r="D653" s="10" t="s">
        <v>828</v>
      </c>
      <c r="E653" s="38" t="s">
        <v>2063</v>
      </c>
      <c r="F653" s="38" t="s">
        <v>879</v>
      </c>
      <c r="G653" s="38"/>
      <c r="H653" s="38" t="s">
        <v>2901</v>
      </c>
      <c r="I653" s="38" t="s">
        <v>2124</v>
      </c>
      <c r="J653" s="38"/>
      <c r="K653" s="38" t="s">
        <v>2157</v>
      </c>
      <c r="L653" s="38" t="s">
        <v>2165</v>
      </c>
      <c r="M653" s="38">
        <v>2</v>
      </c>
      <c r="N653" s="38" t="s">
        <v>1226</v>
      </c>
      <c r="O653" s="10"/>
      <c r="P653" s="25" t="str">
        <f>HYPERLINK("http://biade.itrust.de/biade/lpext.dll?f=id&amp;id=biadb%3Ar%3A017550&amp;t=main-h.htm","17550")</f>
        <v>17550</v>
      </c>
    </row>
    <row r="654" spans="1:16" ht="15.75" thickBot="1">
      <c r="A654" s="6" t="s">
        <v>2064</v>
      </c>
      <c r="B654" s="10"/>
      <c r="C654" s="11" t="s">
        <v>2065</v>
      </c>
      <c r="D654" s="10" t="s">
        <v>828</v>
      </c>
      <c r="E654" s="38" t="s">
        <v>2066</v>
      </c>
      <c r="F654" s="38" t="s">
        <v>2758</v>
      </c>
      <c r="G654" s="38" t="s">
        <v>2183</v>
      </c>
      <c r="H654" s="38" t="s">
        <v>2901</v>
      </c>
      <c r="I654" s="38" t="s">
        <v>2124</v>
      </c>
      <c r="J654" s="38"/>
      <c r="K654" s="38" t="s">
        <v>2189</v>
      </c>
      <c r="L654" s="38" t="s">
        <v>2130</v>
      </c>
      <c r="M654" s="38">
        <v>3</v>
      </c>
      <c r="N654" s="38" t="s">
        <v>2067</v>
      </c>
      <c r="O654" s="10"/>
      <c r="P654" s="25" t="str">
        <f>HYPERLINK("http://biade.itrust.de/biade/lpext.dll?f=id&amp;id=biadb%3Ar%3A019920&amp;t=main-h.htm","19920")</f>
        <v>19920</v>
      </c>
    </row>
    <row r="655" spans="1:16" ht="15.75" thickBot="1">
      <c r="A655" s="6" t="s">
        <v>2068</v>
      </c>
      <c r="B655" s="10"/>
      <c r="C655" s="11" t="s">
        <v>2069</v>
      </c>
      <c r="D655" s="10" t="s">
        <v>828</v>
      </c>
      <c r="E655" s="38" t="s">
        <v>2066</v>
      </c>
      <c r="F655" s="38" t="s">
        <v>2758</v>
      </c>
      <c r="G655" s="38" t="s">
        <v>2183</v>
      </c>
      <c r="H655" s="38" t="s">
        <v>2901</v>
      </c>
      <c r="I655" s="38" t="s">
        <v>2124</v>
      </c>
      <c r="J655" s="38"/>
      <c r="K655" s="38" t="s">
        <v>2189</v>
      </c>
      <c r="L655" s="38" t="s">
        <v>2130</v>
      </c>
      <c r="M655" s="38">
        <v>3</v>
      </c>
      <c r="N655" s="38" t="s">
        <v>2070</v>
      </c>
      <c r="O655" s="10"/>
      <c r="P655" s="25" t="str">
        <f>HYPERLINK("http://biade.itrust.de/biade/lpext.dll?f=id&amp;id=biadb%3Ar%3A016330&amp;t=main-h.htm","16330")</f>
        <v>16330</v>
      </c>
    </row>
    <row r="656" spans="1:16" ht="15.75" thickBot="1">
      <c r="A656" s="6" t="s">
        <v>2071</v>
      </c>
      <c r="B656" s="10"/>
      <c r="C656" s="11" t="s">
        <v>2072</v>
      </c>
      <c r="D656" s="10" t="s">
        <v>828</v>
      </c>
      <c r="E656" s="38" t="s">
        <v>2066</v>
      </c>
      <c r="F656" s="38" t="s">
        <v>2758</v>
      </c>
      <c r="G656" s="38" t="s">
        <v>2183</v>
      </c>
      <c r="H656" s="38" t="s">
        <v>2901</v>
      </c>
      <c r="I656" s="38" t="s">
        <v>2124</v>
      </c>
      <c r="J656" s="38"/>
      <c r="K656" s="38" t="s">
        <v>2189</v>
      </c>
      <c r="L656" s="38" t="s">
        <v>2130</v>
      </c>
      <c r="M656" s="38">
        <v>3</v>
      </c>
      <c r="N656" s="38" t="s">
        <v>2073</v>
      </c>
      <c r="O656" s="10"/>
      <c r="P656" s="25" t="str">
        <f>HYPERLINK("http://biade.itrust.de/biade/lpext.dll?f=id&amp;id=biadb%3Ar%3A038820&amp;t=main-h.htm","38820")</f>
        <v>38820</v>
      </c>
    </row>
    <row r="657" spans="1:16" ht="15.75" thickBot="1">
      <c r="A657" s="6" t="s">
        <v>956</v>
      </c>
      <c r="B657" s="10" t="s">
        <v>2074</v>
      </c>
      <c r="C657" s="27" t="s">
        <v>2075</v>
      </c>
      <c r="D657" s="10" t="s">
        <v>3901</v>
      </c>
      <c r="E657" s="38" t="s">
        <v>2076</v>
      </c>
      <c r="F657" s="38" t="s">
        <v>2077</v>
      </c>
      <c r="G657" s="38" t="s">
        <v>1984</v>
      </c>
      <c r="H657" s="38" t="s">
        <v>1282</v>
      </c>
      <c r="I657" s="38" t="s">
        <v>2124</v>
      </c>
      <c r="J657" s="38"/>
      <c r="K657" s="38" t="s">
        <v>2188</v>
      </c>
      <c r="L657" s="38" t="s">
        <v>2165</v>
      </c>
      <c r="M657" s="38"/>
      <c r="N657" s="38"/>
      <c r="O657" s="10"/>
      <c r="P657" s="27"/>
    </row>
    <row r="658" spans="1:16" ht="15.75" thickBot="1">
      <c r="A658" s="6" t="s">
        <v>2078</v>
      </c>
      <c r="B658" s="10" t="s">
        <v>2079</v>
      </c>
      <c r="C658" s="11" t="s">
        <v>2080</v>
      </c>
      <c r="D658" s="10" t="s">
        <v>2152</v>
      </c>
      <c r="E658" s="38" t="s">
        <v>878</v>
      </c>
      <c r="F658" s="38" t="s">
        <v>2081</v>
      </c>
      <c r="G658" s="38"/>
      <c r="H658" s="38" t="s">
        <v>1282</v>
      </c>
      <c r="I658" s="38" t="s">
        <v>2124</v>
      </c>
      <c r="J658" s="38"/>
      <c r="K658" s="38" t="s">
        <v>2189</v>
      </c>
      <c r="L658" s="38" t="s">
        <v>2130</v>
      </c>
      <c r="M658" s="38"/>
      <c r="N658" s="38" t="s">
        <v>2798</v>
      </c>
      <c r="O658" s="10"/>
      <c r="P658" s="25" t="str">
        <f>HYPERLINK("http://biade.itrust.de/biade/lpext.dll?f=id&amp;id=biadb%3Ar%3A530035&amp;t=main-h.htm","530035")</f>
        <v>530035</v>
      </c>
    </row>
    <row r="659" spans="1:16" ht="15.75" thickBot="1">
      <c r="A659" s="6" t="s">
        <v>955</v>
      </c>
      <c r="B659" s="10" t="s">
        <v>2121</v>
      </c>
      <c r="C659" s="11" t="s">
        <v>2053</v>
      </c>
      <c r="D659" s="10" t="s">
        <v>4164</v>
      </c>
      <c r="E659" s="38" t="s">
        <v>2054</v>
      </c>
      <c r="F659" s="38" t="s">
        <v>2055</v>
      </c>
      <c r="G659" s="38"/>
      <c r="H659" s="38" t="s">
        <v>2901</v>
      </c>
      <c r="I659" s="38" t="s">
        <v>2124</v>
      </c>
      <c r="J659" s="38"/>
      <c r="K659" s="38" t="s">
        <v>2056</v>
      </c>
      <c r="L659" s="38" t="s">
        <v>2200</v>
      </c>
      <c r="M659" s="38">
        <v>2</v>
      </c>
      <c r="N659" s="38"/>
      <c r="O659" s="10"/>
      <c r="P659" s="11"/>
    </row>
    <row r="660" spans="1:16" ht="15.75" thickBot="1">
      <c r="A660" s="6" t="s">
        <v>957</v>
      </c>
      <c r="B660" s="10" t="s">
        <v>2121</v>
      </c>
      <c r="C660" s="11" t="s">
        <v>2082</v>
      </c>
      <c r="D660" s="10" t="s">
        <v>2128</v>
      </c>
      <c r="E660" s="38">
        <v>22</v>
      </c>
      <c r="F660" s="38" t="s">
        <v>2083</v>
      </c>
      <c r="G660" s="38"/>
      <c r="H660" s="38" t="s">
        <v>2687</v>
      </c>
      <c r="I660" s="38" t="s">
        <v>2124</v>
      </c>
      <c r="J660" s="38"/>
      <c r="K660" s="38"/>
      <c r="L660" s="38" t="s">
        <v>2165</v>
      </c>
      <c r="M660" s="38">
        <v>2</v>
      </c>
      <c r="N660" s="38" t="s">
        <v>2144</v>
      </c>
      <c r="O660" s="10"/>
      <c r="P660" s="11"/>
    </row>
    <row r="661" spans="1:16" ht="16.5" thickBot="1">
      <c r="A661" s="6" t="s">
        <v>2084</v>
      </c>
      <c r="B661" s="10"/>
      <c r="C661" s="11" t="s">
        <v>2085</v>
      </c>
      <c r="D661" s="10" t="s">
        <v>2152</v>
      </c>
      <c r="E661" s="38" t="s">
        <v>2086</v>
      </c>
      <c r="F661" s="38" t="s">
        <v>2154</v>
      </c>
      <c r="G661" s="38" t="s">
        <v>2087</v>
      </c>
      <c r="H661" s="38" t="s">
        <v>2156</v>
      </c>
      <c r="I661" s="38" t="s">
        <v>2124</v>
      </c>
      <c r="J661" s="38"/>
      <c r="K661" s="38" t="s">
        <v>2189</v>
      </c>
      <c r="L661" s="38" t="s">
        <v>2130</v>
      </c>
      <c r="M661" s="38">
        <v>3</v>
      </c>
      <c r="N661" s="38"/>
      <c r="O661" s="10"/>
      <c r="P661" s="25" t="str">
        <f>HYPERLINK("http://biade.itrust.de/biade/lpext.dll?f=id&amp;id=biadb%3Ar%3A017900&amp;t=main-h.htm","17900")</f>
        <v>17900</v>
      </c>
    </row>
    <row r="662" spans="1:16" ht="16.5" thickBot="1">
      <c r="A662" s="21" t="s">
        <v>2088</v>
      </c>
      <c r="B662" s="22"/>
      <c r="C662" s="23" t="s">
        <v>2089</v>
      </c>
      <c r="D662" s="22" t="s">
        <v>2152</v>
      </c>
      <c r="E662" s="43" t="s">
        <v>2090</v>
      </c>
      <c r="F662" s="43" t="s">
        <v>2615</v>
      </c>
      <c r="G662" s="43" t="s">
        <v>2091</v>
      </c>
      <c r="H662" s="43" t="s">
        <v>2156</v>
      </c>
      <c r="I662" s="43" t="s">
        <v>2124</v>
      </c>
      <c r="J662" s="43"/>
      <c r="K662" s="43" t="s">
        <v>2189</v>
      </c>
      <c r="L662" s="43" t="s">
        <v>2130</v>
      </c>
      <c r="M662" s="43">
        <v>3</v>
      </c>
      <c r="N662" s="43"/>
      <c r="O662" s="22"/>
      <c r="P662" s="35" t="str">
        <f>HYPERLINK("http://biade.itrust.de/biade/lpext.dll?f=id&amp;id=biadb%3Ar%3A490251&amp;t=main-h.htm","490251")</f>
        <v>490251</v>
      </c>
    </row>
    <row r="663" spans="1:16" ht="15">
      <c r="A663" s="49" t="s">
        <v>2092</v>
      </c>
      <c r="B663" s="7" t="s">
        <v>1119</v>
      </c>
      <c r="C663" s="51" t="s">
        <v>2093</v>
      </c>
      <c r="D663" s="49"/>
      <c r="E663" s="47"/>
      <c r="F663" s="47"/>
      <c r="G663" s="47"/>
      <c r="H663" s="47" t="s">
        <v>2123</v>
      </c>
      <c r="I663" s="47" t="s">
        <v>2124</v>
      </c>
      <c r="J663" s="47"/>
      <c r="K663" s="47"/>
      <c r="L663" s="47" t="s">
        <v>2165</v>
      </c>
      <c r="M663" s="47">
        <v>1</v>
      </c>
      <c r="N663" s="47"/>
      <c r="O663" s="49"/>
      <c r="P663" s="51"/>
    </row>
    <row r="664" spans="1:16" ht="15.75" thickBot="1">
      <c r="A664" s="50"/>
      <c r="B664" s="10" t="s">
        <v>1262</v>
      </c>
      <c r="C664" s="52"/>
      <c r="D664" s="50"/>
      <c r="E664" s="48"/>
      <c r="F664" s="48"/>
      <c r="G664" s="48"/>
      <c r="H664" s="48"/>
      <c r="I664" s="48"/>
      <c r="J664" s="48"/>
      <c r="K664" s="48"/>
      <c r="L664" s="48"/>
      <c r="M664" s="48"/>
      <c r="N664" s="48"/>
      <c r="O664" s="50"/>
      <c r="P664" s="52"/>
    </row>
    <row r="665" spans="1:16" ht="26.25" thickBot="1">
      <c r="A665" s="6" t="s">
        <v>2094</v>
      </c>
      <c r="B665" s="10" t="s">
        <v>1118</v>
      </c>
      <c r="C665" s="11" t="s">
        <v>2095</v>
      </c>
      <c r="D665" s="10"/>
      <c r="E665" s="38"/>
      <c r="F665" s="38" t="s">
        <v>845</v>
      </c>
      <c r="G665" s="38"/>
      <c r="H665" s="38" t="s">
        <v>2123</v>
      </c>
      <c r="I665" s="38" t="s">
        <v>2124</v>
      </c>
      <c r="J665" s="38"/>
      <c r="K665" s="38"/>
      <c r="L665" s="38" t="s">
        <v>2130</v>
      </c>
      <c r="M665" s="38">
        <v>1</v>
      </c>
      <c r="N665" s="38"/>
      <c r="O665" s="10"/>
      <c r="P665" s="25" t="str">
        <f>HYPERLINK("http://biade.itrust.de/biade/lpext.dll?f=id&amp;id=biadb%3Ar%3A021240&amp;t=main-h.htm","21240")</f>
        <v>21240</v>
      </c>
    </row>
    <row r="666" spans="1:16" ht="15">
      <c r="A666" s="49" t="s">
        <v>2096</v>
      </c>
      <c r="B666" s="49"/>
      <c r="C666" s="51" t="s">
        <v>2097</v>
      </c>
      <c r="D666" s="49" t="s">
        <v>3778</v>
      </c>
      <c r="E666" s="47" t="s">
        <v>2098</v>
      </c>
      <c r="F666" s="47" t="s">
        <v>2099</v>
      </c>
      <c r="G666" s="47" t="s">
        <v>4074</v>
      </c>
      <c r="H666" s="47" t="s">
        <v>1282</v>
      </c>
      <c r="I666" s="39">
        <v>73</v>
      </c>
      <c r="J666" s="47">
        <v>2</v>
      </c>
      <c r="K666" s="47" t="s">
        <v>2533</v>
      </c>
      <c r="L666" s="47" t="s">
        <v>2165</v>
      </c>
      <c r="M666" s="47">
        <v>2</v>
      </c>
      <c r="N666" s="47" t="s">
        <v>2100</v>
      </c>
      <c r="O666" s="49"/>
      <c r="P666" s="51"/>
    </row>
    <row r="667" spans="1:16" ht="15.75" thickBot="1">
      <c r="A667" s="50"/>
      <c r="B667" s="50"/>
      <c r="C667" s="52"/>
      <c r="D667" s="50"/>
      <c r="E667" s="48"/>
      <c r="F667" s="48"/>
      <c r="G667" s="48"/>
      <c r="H667" s="48"/>
      <c r="I667" s="38">
        <v>20</v>
      </c>
      <c r="J667" s="48"/>
      <c r="K667" s="48"/>
      <c r="L667" s="48"/>
      <c r="M667" s="48"/>
      <c r="N667" s="48"/>
      <c r="O667" s="50"/>
      <c r="P667" s="52"/>
    </row>
    <row r="668" spans="1:16" ht="15.75" thickBot="1">
      <c r="A668" s="6" t="s">
        <v>2101</v>
      </c>
      <c r="B668" s="10" t="s">
        <v>1117</v>
      </c>
      <c r="C668" s="11" t="s">
        <v>2102</v>
      </c>
      <c r="D668" s="10" t="s">
        <v>2152</v>
      </c>
      <c r="E668" s="38" t="s">
        <v>878</v>
      </c>
      <c r="F668" s="38" t="s">
        <v>2758</v>
      </c>
      <c r="G668" s="38"/>
      <c r="H668" s="38" t="s">
        <v>1282</v>
      </c>
      <c r="I668" s="38" t="s">
        <v>2124</v>
      </c>
      <c r="J668" s="38"/>
      <c r="K668" s="38" t="s">
        <v>2157</v>
      </c>
      <c r="L668" s="38" t="s">
        <v>2165</v>
      </c>
      <c r="M668" s="38">
        <v>3</v>
      </c>
      <c r="N668" s="38" t="s">
        <v>2798</v>
      </c>
      <c r="O668" s="10"/>
      <c r="P668" s="25" t="str">
        <f>HYPERLINK("http://biade.itrust.de/biade/lpext.dll?f=id&amp;id=biadb%3Ar%3A016270&amp;t=main-h.htm","16270")</f>
        <v>16270</v>
      </c>
    </row>
    <row r="669" spans="1:16" ht="15">
      <c r="A669" s="5" t="s">
        <v>2103</v>
      </c>
      <c r="B669" s="49" t="s">
        <v>2121</v>
      </c>
      <c r="C669" s="51" t="s">
        <v>2104</v>
      </c>
      <c r="D669" s="49"/>
      <c r="E669" s="47"/>
      <c r="F669" s="47"/>
      <c r="G669" s="47"/>
      <c r="H669" s="47" t="s">
        <v>2123</v>
      </c>
      <c r="I669" s="47" t="s">
        <v>2124</v>
      </c>
      <c r="J669" s="47"/>
      <c r="K669" s="47"/>
      <c r="L669" s="47" t="s">
        <v>2165</v>
      </c>
      <c r="M669" s="47">
        <v>3</v>
      </c>
      <c r="N669" s="47"/>
      <c r="O669" s="49"/>
      <c r="P669" s="51"/>
    </row>
    <row r="670" spans="1:16" ht="15.75" thickBot="1">
      <c r="A670" s="6" t="s">
        <v>4089</v>
      </c>
      <c r="B670" s="50"/>
      <c r="C670" s="52"/>
      <c r="D670" s="50"/>
      <c r="E670" s="48"/>
      <c r="F670" s="48"/>
      <c r="G670" s="48"/>
      <c r="H670" s="48"/>
      <c r="I670" s="48"/>
      <c r="J670" s="48"/>
      <c r="K670" s="48"/>
      <c r="L670" s="48"/>
      <c r="M670" s="48"/>
      <c r="N670" s="48"/>
      <c r="O670" s="50"/>
      <c r="P670" s="52"/>
    </row>
    <row r="671" spans="1:16" ht="15.75" thickBot="1">
      <c r="A671" s="6" t="s">
        <v>958</v>
      </c>
      <c r="B671" s="10" t="s">
        <v>2121</v>
      </c>
      <c r="C671" s="11" t="s">
        <v>2105</v>
      </c>
      <c r="D671" s="10"/>
      <c r="E671" s="38"/>
      <c r="F671" s="38"/>
      <c r="G671" s="38"/>
      <c r="H671" s="38" t="s">
        <v>2123</v>
      </c>
      <c r="I671" s="38" t="s">
        <v>2124</v>
      </c>
      <c r="J671" s="38"/>
      <c r="K671" s="38"/>
      <c r="L671" s="38" t="s">
        <v>2165</v>
      </c>
      <c r="M671" s="38">
        <v>3</v>
      </c>
      <c r="N671" s="38"/>
      <c r="O671" s="10"/>
      <c r="P671" s="11"/>
    </row>
    <row r="672" spans="1:16" ht="15">
      <c r="A672" s="49" t="s">
        <v>1857</v>
      </c>
      <c r="B672" s="7" t="s">
        <v>1858</v>
      </c>
      <c r="C672" s="51" t="s">
        <v>1859</v>
      </c>
      <c r="D672" s="49" t="s">
        <v>2128</v>
      </c>
      <c r="E672" s="47" t="s">
        <v>1860</v>
      </c>
      <c r="F672" s="47" t="s">
        <v>1861</v>
      </c>
      <c r="G672" s="47" t="s">
        <v>1862</v>
      </c>
      <c r="H672" s="47" t="s">
        <v>1282</v>
      </c>
      <c r="I672" s="39">
        <v>0.05</v>
      </c>
      <c r="J672" s="47" t="s">
        <v>1863</v>
      </c>
      <c r="K672" s="47"/>
      <c r="L672" s="47" t="s">
        <v>2204</v>
      </c>
      <c r="M672" s="47">
        <v>1</v>
      </c>
      <c r="N672" s="47" t="s">
        <v>2100</v>
      </c>
      <c r="O672" s="49"/>
      <c r="P672" s="51"/>
    </row>
    <row r="673" spans="1:16" ht="39" customHeight="1" thickBot="1">
      <c r="A673" s="50"/>
      <c r="B673" s="10" t="s">
        <v>1115</v>
      </c>
      <c r="C673" s="52"/>
      <c r="D673" s="50"/>
      <c r="E673" s="48"/>
      <c r="F673" s="48"/>
      <c r="G673" s="48"/>
      <c r="H673" s="48"/>
      <c r="I673" s="38">
        <v>0.005</v>
      </c>
      <c r="J673" s="48"/>
      <c r="K673" s="48"/>
      <c r="L673" s="48"/>
      <c r="M673" s="48"/>
      <c r="N673" s="48"/>
      <c r="O673" s="50"/>
      <c r="P673" s="52"/>
    </row>
    <row r="674" spans="1:16" ht="15">
      <c r="A674" s="49" t="s">
        <v>959</v>
      </c>
      <c r="B674" s="7" t="s">
        <v>1116</v>
      </c>
      <c r="C674" s="51" t="s">
        <v>1864</v>
      </c>
      <c r="D674" s="49" t="s">
        <v>1229</v>
      </c>
      <c r="E674" s="47">
        <v>25</v>
      </c>
      <c r="F674" s="47" t="s">
        <v>1259</v>
      </c>
      <c r="G674" s="47"/>
      <c r="H674" s="47" t="s">
        <v>1282</v>
      </c>
      <c r="I674" s="47" t="s">
        <v>2124</v>
      </c>
      <c r="J674" s="47"/>
      <c r="K674" s="47" t="s">
        <v>2157</v>
      </c>
      <c r="L674" s="47" t="s">
        <v>2165</v>
      </c>
      <c r="M674" s="47">
        <v>3</v>
      </c>
      <c r="N674" s="47"/>
      <c r="O674" s="49"/>
      <c r="P674" s="51"/>
    </row>
    <row r="675" spans="1:16" ht="15.75" thickBot="1">
      <c r="A675" s="50"/>
      <c r="B675" s="10" t="s">
        <v>1278</v>
      </c>
      <c r="C675" s="52"/>
      <c r="D675" s="50"/>
      <c r="E675" s="48"/>
      <c r="F675" s="48"/>
      <c r="G675" s="48"/>
      <c r="H675" s="48"/>
      <c r="I675" s="48"/>
      <c r="J675" s="48"/>
      <c r="K675" s="48"/>
      <c r="L675" s="48"/>
      <c r="M675" s="48"/>
      <c r="N675" s="48"/>
      <c r="O675" s="50"/>
      <c r="P675" s="52"/>
    </row>
    <row r="676" spans="1:16" ht="15.75" thickBot="1">
      <c r="A676" s="6" t="s">
        <v>1865</v>
      </c>
      <c r="B676" s="10" t="s">
        <v>1866</v>
      </c>
      <c r="C676" s="11" t="s">
        <v>1867</v>
      </c>
      <c r="D676" s="10"/>
      <c r="E676" s="38"/>
      <c r="F676" s="38"/>
      <c r="G676" s="38"/>
      <c r="H676" s="38" t="s">
        <v>2123</v>
      </c>
      <c r="I676" s="38" t="s">
        <v>2124</v>
      </c>
      <c r="J676" s="38"/>
      <c r="K676" s="38"/>
      <c r="L676" s="38" t="s">
        <v>2165</v>
      </c>
      <c r="M676" s="38">
        <v>2</v>
      </c>
      <c r="N676" s="38"/>
      <c r="O676" s="10"/>
      <c r="P676" s="11"/>
    </row>
    <row r="677" spans="1:16" ht="15.75" thickBot="1">
      <c r="A677" s="6" t="s">
        <v>1868</v>
      </c>
      <c r="B677" s="10" t="s">
        <v>1114</v>
      </c>
      <c r="C677" s="11" t="s">
        <v>1869</v>
      </c>
      <c r="D677" s="10" t="s">
        <v>2134</v>
      </c>
      <c r="E677" s="38" t="s">
        <v>2135</v>
      </c>
      <c r="F677" s="38">
        <v>26</v>
      </c>
      <c r="G677" s="38"/>
      <c r="H677" s="38" t="s">
        <v>2687</v>
      </c>
      <c r="I677" s="38" t="s">
        <v>2124</v>
      </c>
      <c r="J677" s="38"/>
      <c r="K677" s="38"/>
      <c r="L677" s="38" t="s">
        <v>2165</v>
      </c>
      <c r="M677" s="38">
        <v>3</v>
      </c>
      <c r="N677" s="38"/>
      <c r="O677" s="10"/>
      <c r="P677" s="11"/>
    </row>
    <row r="678" spans="1:16" ht="15.75" thickBot="1">
      <c r="A678" s="17" t="s">
        <v>1870</v>
      </c>
      <c r="B678" s="10" t="s">
        <v>2121</v>
      </c>
      <c r="C678" s="11" t="s">
        <v>1871</v>
      </c>
      <c r="D678" s="10" t="s">
        <v>2128</v>
      </c>
      <c r="E678" s="38">
        <v>65</v>
      </c>
      <c r="F678" s="38" t="s">
        <v>2960</v>
      </c>
      <c r="G678" s="38"/>
      <c r="H678" s="38" t="s">
        <v>2687</v>
      </c>
      <c r="I678" s="38" t="s">
        <v>2124</v>
      </c>
      <c r="J678" s="38"/>
      <c r="K678" s="38" t="s">
        <v>2188</v>
      </c>
      <c r="L678" s="38" t="s">
        <v>2130</v>
      </c>
      <c r="M678" s="38">
        <v>1</v>
      </c>
      <c r="N678" s="38"/>
      <c r="O678" s="10"/>
      <c r="P678" s="25" t="str">
        <f>HYPERLINK("http://biade.itrust.de/biade/lpext.dll?f=id&amp;id=biadb%3Ar%3A013560&amp;t=main-h.htm","13560")</f>
        <v>13560</v>
      </c>
    </row>
    <row r="679" spans="1:16" ht="15">
      <c r="A679" s="49" t="s">
        <v>1872</v>
      </c>
      <c r="B679" s="49" t="s">
        <v>1873</v>
      </c>
      <c r="C679" s="51" t="s">
        <v>1874</v>
      </c>
      <c r="D679" s="49" t="s">
        <v>713</v>
      </c>
      <c r="E679" s="47" t="s">
        <v>1875</v>
      </c>
      <c r="F679" s="47" t="s">
        <v>1876</v>
      </c>
      <c r="G679" s="47"/>
      <c r="H679" s="47" t="s">
        <v>2687</v>
      </c>
      <c r="I679" s="39">
        <v>155</v>
      </c>
      <c r="J679" s="47">
        <v>1</v>
      </c>
      <c r="K679" s="47"/>
      <c r="L679" s="47" t="s">
        <v>2130</v>
      </c>
      <c r="M679" s="47">
        <v>1</v>
      </c>
      <c r="N679" s="47"/>
      <c r="O679" s="49"/>
      <c r="P679" s="51"/>
    </row>
    <row r="680" spans="1:16" ht="15.75" thickBot="1">
      <c r="A680" s="50"/>
      <c r="B680" s="50"/>
      <c r="C680" s="52"/>
      <c r="D680" s="50"/>
      <c r="E680" s="48"/>
      <c r="F680" s="48"/>
      <c r="G680" s="48"/>
      <c r="H680" s="48"/>
      <c r="I680" s="38">
        <v>20</v>
      </c>
      <c r="J680" s="48"/>
      <c r="K680" s="48"/>
      <c r="L680" s="48"/>
      <c r="M680" s="48"/>
      <c r="N680" s="48"/>
      <c r="O680" s="50"/>
      <c r="P680" s="52"/>
    </row>
    <row r="681" spans="1:16" ht="15">
      <c r="A681" s="5" t="s">
        <v>1877</v>
      </c>
      <c r="B681" s="49" t="s">
        <v>1878</v>
      </c>
      <c r="C681" s="51" t="s">
        <v>1879</v>
      </c>
      <c r="D681" s="49" t="s">
        <v>3778</v>
      </c>
      <c r="E681" s="47" t="s">
        <v>1880</v>
      </c>
      <c r="F681" s="47" t="s">
        <v>3987</v>
      </c>
      <c r="G681" s="47"/>
      <c r="H681" s="47" t="s">
        <v>2718</v>
      </c>
      <c r="I681" s="47" t="s">
        <v>2124</v>
      </c>
      <c r="J681" s="47"/>
      <c r="K681" s="47"/>
      <c r="L681" s="47" t="s">
        <v>2136</v>
      </c>
      <c r="M681" s="47">
        <v>2</v>
      </c>
      <c r="N681" s="47" t="s">
        <v>2144</v>
      </c>
      <c r="O681" s="49"/>
      <c r="P681" s="51"/>
    </row>
    <row r="682" spans="1:16" ht="15.75" thickBot="1">
      <c r="A682" s="6" t="s">
        <v>4089</v>
      </c>
      <c r="B682" s="50"/>
      <c r="C682" s="52"/>
      <c r="D682" s="50"/>
      <c r="E682" s="48"/>
      <c r="F682" s="48"/>
      <c r="G682" s="48"/>
      <c r="H682" s="48"/>
      <c r="I682" s="48"/>
      <c r="J682" s="48"/>
      <c r="K682" s="48"/>
      <c r="L682" s="48"/>
      <c r="M682" s="48"/>
      <c r="N682" s="48"/>
      <c r="O682" s="50"/>
      <c r="P682" s="52"/>
    </row>
    <row r="683" spans="1:16" ht="15.75" thickBot="1">
      <c r="A683" s="6" t="s">
        <v>1881</v>
      </c>
      <c r="B683" s="10" t="s">
        <v>2132</v>
      </c>
      <c r="C683" s="11" t="s">
        <v>1882</v>
      </c>
      <c r="D683" s="10" t="s">
        <v>2128</v>
      </c>
      <c r="E683" s="38" t="s">
        <v>1883</v>
      </c>
      <c r="F683" s="38" t="s">
        <v>3898</v>
      </c>
      <c r="G683" s="38"/>
      <c r="H683" s="38" t="s">
        <v>2164</v>
      </c>
      <c r="I683" s="38" t="s">
        <v>2124</v>
      </c>
      <c r="J683" s="38"/>
      <c r="K683" s="38"/>
      <c r="L683" s="38" t="s">
        <v>2136</v>
      </c>
      <c r="M683" s="38">
        <v>1</v>
      </c>
      <c r="N683" s="38" t="s">
        <v>2144</v>
      </c>
      <c r="O683" s="10"/>
      <c r="P683" s="25" t="str">
        <f>HYPERLINK("http://biade.itrust.de/biade/lpext.dll?f=id&amp;id=biadb%3Ar%3A001490&amp;t=main-h.htm","1490")</f>
        <v>1490</v>
      </c>
    </row>
    <row r="684" spans="1:16" ht="15.75" thickBot="1">
      <c r="A684" s="6" t="s">
        <v>1884</v>
      </c>
      <c r="B684" s="10" t="s">
        <v>2132</v>
      </c>
      <c r="C684" s="11" t="s">
        <v>1885</v>
      </c>
      <c r="D684" s="10" t="s">
        <v>2128</v>
      </c>
      <c r="E684" s="38" t="s">
        <v>4025</v>
      </c>
      <c r="F684" s="38" t="s">
        <v>4026</v>
      </c>
      <c r="G684" s="38"/>
      <c r="H684" s="38" t="s">
        <v>2687</v>
      </c>
      <c r="I684" s="38" t="s">
        <v>2124</v>
      </c>
      <c r="J684" s="38"/>
      <c r="K684" s="38"/>
      <c r="L684" s="38" t="s">
        <v>2165</v>
      </c>
      <c r="M684" s="38"/>
      <c r="N684" s="38" t="s">
        <v>2144</v>
      </c>
      <c r="O684" s="10"/>
      <c r="P684" s="11"/>
    </row>
    <row r="685" spans="1:16" ht="15">
      <c r="A685" s="49" t="s">
        <v>1886</v>
      </c>
      <c r="B685" s="49" t="s">
        <v>2132</v>
      </c>
      <c r="C685" s="51" t="s">
        <v>1887</v>
      </c>
      <c r="D685" s="49"/>
      <c r="E685" s="47"/>
      <c r="F685" s="47"/>
      <c r="G685" s="47"/>
      <c r="H685" s="47" t="s">
        <v>2123</v>
      </c>
      <c r="I685" s="39" t="s">
        <v>4201</v>
      </c>
      <c r="J685" s="47">
        <v>2</v>
      </c>
      <c r="K685" s="47"/>
      <c r="L685" s="47" t="s">
        <v>2125</v>
      </c>
      <c r="M685" s="47" t="s">
        <v>2221</v>
      </c>
      <c r="N685" s="47"/>
      <c r="O685" s="49"/>
      <c r="P685" s="51"/>
    </row>
    <row r="686" spans="1:16" ht="15.75" thickBot="1">
      <c r="A686" s="50"/>
      <c r="B686" s="50"/>
      <c r="C686" s="52"/>
      <c r="D686" s="50"/>
      <c r="E686" s="48"/>
      <c r="F686" s="48"/>
      <c r="G686" s="48"/>
      <c r="H686" s="48"/>
      <c r="I686" s="38" t="s">
        <v>2124</v>
      </c>
      <c r="J686" s="48"/>
      <c r="K686" s="48"/>
      <c r="L686" s="48"/>
      <c r="M686" s="48"/>
      <c r="N686" s="48"/>
      <c r="O686" s="50"/>
      <c r="P686" s="52"/>
    </row>
    <row r="687" spans="1:16" ht="15.75" thickBot="1">
      <c r="A687" s="6" t="s">
        <v>1888</v>
      </c>
      <c r="B687" s="10"/>
      <c r="C687" s="11" t="s">
        <v>1889</v>
      </c>
      <c r="D687" s="10" t="s">
        <v>2128</v>
      </c>
      <c r="E687" s="38" t="s">
        <v>1890</v>
      </c>
      <c r="F687" s="38">
        <v>46</v>
      </c>
      <c r="G687" s="38"/>
      <c r="H687" s="38" t="s">
        <v>2687</v>
      </c>
      <c r="I687" s="38" t="s">
        <v>2124</v>
      </c>
      <c r="J687" s="38"/>
      <c r="K687" s="38"/>
      <c r="L687" s="38" t="s">
        <v>2136</v>
      </c>
      <c r="M687" s="38">
        <v>1</v>
      </c>
      <c r="N687" s="38" t="s">
        <v>3767</v>
      </c>
      <c r="O687" s="10"/>
      <c r="P687" s="25" t="str">
        <f>HYPERLINK("http://biade.itrust.de/biade/lpext.dll?f=id&amp;id=biadb%3Ar%3A004450&amp;t=main-h.htm","4450")</f>
        <v>4450</v>
      </c>
    </row>
    <row r="688" spans="1:16" ht="15">
      <c r="A688" s="5" t="s">
        <v>1891</v>
      </c>
      <c r="B688" s="49"/>
      <c r="C688" s="8" t="s">
        <v>1892</v>
      </c>
      <c r="D688" s="49" t="s">
        <v>2128</v>
      </c>
      <c r="E688" s="47" t="s">
        <v>1883</v>
      </c>
      <c r="F688" s="47" t="s">
        <v>3898</v>
      </c>
      <c r="G688" s="47"/>
      <c r="H688" s="47" t="s">
        <v>2687</v>
      </c>
      <c r="I688" s="47" t="s">
        <v>2124</v>
      </c>
      <c r="J688" s="47"/>
      <c r="K688" s="47"/>
      <c r="L688" s="47" t="s">
        <v>2136</v>
      </c>
      <c r="M688" s="47">
        <v>1</v>
      </c>
      <c r="N688" s="47" t="s">
        <v>2144</v>
      </c>
      <c r="O688" s="49"/>
      <c r="P688" s="36" t="str">
        <f>HYPERLINK("http://biade.itrust.de/biade/lpext.dll?f=id&amp;id=biadb%3Ar%3A001500&amp;t=main-h.htm","1500")</f>
        <v>1500</v>
      </c>
    </row>
    <row r="689" spans="1:16" ht="15.75" thickBot="1">
      <c r="A689" s="6" t="s">
        <v>2160</v>
      </c>
      <c r="B689" s="50"/>
      <c r="C689" s="28" t="s">
        <v>1893</v>
      </c>
      <c r="D689" s="50"/>
      <c r="E689" s="48"/>
      <c r="F689" s="48"/>
      <c r="G689" s="48"/>
      <c r="H689" s="48"/>
      <c r="I689" s="48"/>
      <c r="J689" s="48"/>
      <c r="K689" s="48"/>
      <c r="L689" s="48"/>
      <c r="M689" s="48"/>
      <c r="N689" s="48"/>
      <c r="O689" s="50"/>
      <c r="P689" s="25" t="str">
        <f>HYPERLINK("http://biade.itrust.de/biade/lpext.dll?f=id&amp;id=biadb%3Ar%3A001500&amp;t=main-h.htm","1500")</f>
        <v>1500</v>
      </c>
    </row>
    <row r="690" spans="1:16" ht="15.75" thickBot="1">
      <c r="A690" s="6" t="s">
        <v>1894</v>
      </c>
      <c r="B690" s="10" t="s">
        <v>2121</v>
      </c>
      <c r="C690" s="11" t="s">
        <v>1895</v>
      </c>
      <c r="D690" s="10" t="s">
        <v>3887</v>
      </c>
      <c r="E690" s="38" t="s">
        <v>3888</v>
      </c>
      <c r="F690" s="38">
        <v>26</v>
      </c>
      <c r="G690" s="38"/>
      <c r="H690" s="38" t="s">
        <v>2687</v>
      </c>
      <c r="I690" s="38" t="s">
        <v>2124</v>
      </c>
      <c r="J690" s="38"/>
      <c r="K690" s="38"/>
      <c r="L690" s="38" t="s">
        <v>2136</v>
      </c>
      <c r="M690" s="38">
        <v>1</v>
      </c>
      <c r="N690" s="38" t="s">
        <v>1252</v>
      </c>
      <c r="O690" s="10"/>
      <c r="P690" s="25" t="str">
        <f>HYPERLINK("http://biade.itrust.de/biade/lpext.dll?f=id&amp;id=biadb%3Ar%3A491484&amp;t=main-h.htm","491484")</f>
        <v>491484</v>
      </c>
    </row>
    <row r="691" spans="1:16" ht="15.75" thickBot="1">
      <c r="A691" s="6" t="s">
        <v>1896</v>
      </c>
      <c r="B691" s="10" t="s">
        <v>2121</v>
      </c>
      <c r="C691" s="11" t="s">
        <v>1897</v>
      </c>
      <c r="D691" s="10"/>
      <c r="E691" s="38"/>
      <c r="F691" s="38"/>
      <c r="G691" s="38"/>
      <c r="H691" s="38" t="s">
        <v>2123</v>
      </c>
      <c r="I691" s="38" t="s">
        <v>4201</v>
      </c>
      <c r="J691" s="38" t="s">
        <v>3881</v>
      </c>
      <c r="K691" s="38"/>
      <c r="L691" s="38" t="s">
        <v>2136</v>
      </c>
      <c r="M691" s="38" t="s">
        <v>2221</v>
      </c>
      <c r="N691" s="38"/>
      <c r="O691" s="10"/>
      <c r="P691" s="25" t="str">
        <f>HYPERLINK("http://biade.itrust.de/biade/lpext.dll?f=id&amp;id=biadb%3Ar%3A001860&amp;t=main-h.htm","1860")</f>
        <v>1860</v>
      </c>
    </row>
    <row r="692" spans="1:16" ht="15">
      <c r="A692" s="5" t="s">
        <v>1898</v>
      </c>
      <c r="B692" s="49" t="s">
        <v>4008</v>
      </c>
      <c r="C692" s="8" t="s">
        <v>1899</v>
      </c>
      <c r="D692" s="49" t="s">
        <v>2128</v>
      </c>
      <c r="E692" s="47" t="s">
        <v>1901</v>
      </c>
      <c r="F692" s="47">
        <v>26</v>
      </c>
      <c r="G692" s="47"/>
      <c r="H692" s="47" t="s">
        <v>2687</v>
      </c>
      <c r="I692" s="47" t="s">
        <v>2124</v>
      </c>
      <c r="J692" s="47"/>
      <c r="K692" s="47"/>
      <c r="L692" s="47" t="s">
        <v>2136</v>
      </c>
      <c r="M692" s="47">
        <v>1</v>
      </c>
      <c r="N692" s="47" t="s">
        <v>2144</v>
      </c>
      <c r="O692" s="49"/>
      <c r="P692" s="36" t="str">
        <f>HYPERLINK("http://biade.itrust.de/biade/lpext.dll?f=id&amp;id=biadb%3Ar%3A005290&amp;t=main-h.htm","5290")</f>
        <v>5290</v>
      </c>
    </row>
    <row r="693" spans="1:16" ht="15">
      <c r="A693" s="5" t="s">
        <v>2160</v>
      </c>
      <c r="B693" s="56"/>
      <c r="C693" s="8" t="s">
        <v>1900</v>
      </c>
      <c r="D693" s="56"/>
      <c r="E693" s="55"/>
      <c r="F693" s="55"/>
      <c r="G693" s="55"/>
      <c r="H693" s="55"/>
      <c r="I693" s="55"/>
      <c r="J693" s="55"/>
      <c r="K693" s="55"/>
      <c r="L693" s="55"/>
      <c r="M693" s="55"/>
      <c r="N693" s="55"/>
      <c r="O693" s="56"/>
      <c r="P693" s="36" t="str">
        <f>HYPERLINK("http://biade.itrust.de/biade/lpext.dll?f=id&amp;id=biadb%3Ar%3A005290&amp;t=main-h.htm","5290")</f>
        <v>5290</v>
      </c>
    </row>
    <row r="694" spans="1:16" ht="15.75" thickBot="1">
      <c r="A694" s="6" t="s">
        <v>3996</v>
      </c>
      <c r="B694" s="50"/>
      <c r="C694" s="3"/>
      <c r="D694" s="50"/>
      <c r="E694" s="48"/>
      <c r="F694" s="48"/>
      <c r="G694" s="48"/>
      <c r="H694" s="48"/>
      <c r="I694" s="48"/>
      <c r="J694" s="48"/>
      <c r="K694" s="48"/>
      <c r="L694" s="48"/>
      <c r="M694" s="48"/>
      <c r="N694" s="48"/>
      <c r="O694" s="50"/>
      <c r="P694" s="3"/>
    </row>
    <row r="695" spans="1:16" ht="15">
      <c r="A695" s="5" t="s">
        <v>1902</v>
      </c>
      <c r="B695" s="49" t="s">
        <v>2177</v>
      </c>
      <c r="C695" s="51" t="s">
        <v>1903</v>
      </c>
      <c r="D695" s="49" t="s">
        <v>3859</v>
      </c>
      <c r="E695" s="47">
        <v>11</v>
      </c>
      <c r="F695" s="47" t="s">
        <v>1904</v>
      </c>
      <c r="G695" s="47"/>
      <c r="H695" s="47" t="s">
        <v>2687</v>
      </c>
      <c r="I695" s="47" t="s">
        <v>2124</v>
      </c>
      <c r="J695" s="47"/>
      <c r="K695" s="47"/>
      <c r="L695" s="47" t="s">
        <v>2198</v>
      </c>
      <c r="M695" s="47" t="s">
        <v>2221</v>
      </c>
      <c r="N695" s="47"/>
      <c r="O695" s="49"/>
      <c r="P695" s="51"/>
    </row>
    <row r="696" spans="1:16" ht="15.75" thickBot="1">
      <c r="A696" s="6" t="s">
        <v>2865</v>
      </c>
      <c r="B696" s="50"/>
      <c r="C696" s="52"/>
      <c r="D696" s="50"/>
      <c r="E696" s="48"/>
      <c r="F696" s="48"/>
      <c r="G696" s="48"/>
      <c r="H696" s="48"/>
      <c r="I696" s="48"/>
      <c r="J696" s="48"/>
      <c r="K696" s="48"/>
      <c r="L696" s="48"/>
      <c r="M696" s="48"/>
      <c r="N696" s="48"/>
      <c r="O696" s="50"/>
      <c r="P696" s="52"/>
    </row>
    <row r="697" spans="1:16" ht="15">
      <c r="A697" s="5" t="s">
        <v>1902</v>
      </c>
      <c r="B697" s="49"/>
      <c r="C697" s="51" t="s">
        <v>1903</v>
      </c>
      <c r="D697" s="49"/>
      <c r="E697" s="47"/>
      <c r="F697" s="47"/>
      <c r="G697" s="47"/>
      <c r="H697" s="47" t="s">
        <v>2123</v>
      </c>
      <c r="I697" s="47" t="s">
        <v>2124</v>
      </c>
      <c r="J697" s="47"/>
      <c r="K697" s="47"/>
      <c r="L697" s="47" t="s">
        <v>2125</v>
      </c>
      <c r="M697" s="47" t="s">
        <v>2221</v>
      </c>
      <c r="N697" s="47"/>
      <c r="O697" s="49"/>
      <c r="P697" s="51"/>
    </row>
    <row r="698" spans="1:16" ht="15.75" thickBot="1">
      <c r="A698" s="6" t="s">
        <v>1905</v>
      </c>
      <c r="B698" s="50"/>
      <c r="C698" s="52"/>
      <c r="D698" s="50"/>
      <c r="E698" s="48"/>
      <c r="F698" s="48"/>
      <c r="G698" s="48"/>
      <c r="H698" s="48"/>
      <c r="I698" s="48"/>
      <c r="J698" s="48"/>
      <c r="K698" s="48"/>
      <c r="L698" s="48"/>
      <c r="M698" s="48"/>
      <c r="N698" s="48"/>
      <c r="O698" s="50"/>
      <c r="P698" s="52"/>
    </row>
    <row r="699" spans="1:16" ht="15.75" thickBot="1">
      <c r="A699" s="6" t="s">
        <v>1884</v>
      </c>
      <c r="B699" s="10" t="s">
        <v>2132</v>
      </c>
      <c r="C699" s="11" t="s">
        <v>1885</v>
      </c>
      <c r="D699" s="10" t="s">
        <v>2128</v>
      </c>
      <c r="E699" s="38" t="s">
        <v>4025</v>
      </c>
      <c r="F699" s="38" t="s">
        <v>4026</v>
      </c>
      <c r="G699" s="38"/>
      <c r="H699" s="38" t="s">
        <v>2687</v>
      </c>
      <c r="I699" s="38" t="s">
        <v>2124</v>
      </c>
      <c r="J699" s="38"/>
      <c r="K699" s="38"/>
      <c r="L699" s="38" t="s">
        <v>2165</v>
      </c>
      <c r="M699" s="38" t="s">
        <v>1270</v>
      </c>
      <c r="N699" s="38"/>
      <c r="O699" s="10"/>
      <c r="P699" s="11"/>
    </row>
    <row r="700" spans="1:16" ht="15.75" thickBot="1">
      <c r="A700" s="6" t="s">
        <v>1906</v>
      </c>
      <c r="B700" s="10" t="s">
        <v>1907</v>
      </c>
      <c r="C700" s="11" t="s">
        <v>1908</v>
      </c>
      <c r="D700" s="10" t="s">
        <v>1909</v>
      </c>
      <c r="E700" s="38" t="s">
        <v>1910</v>
      </c>
      <c r="F700" s="38" t="s">
        <v>1911</v>
      </c>
      <c r="G700" s="38"/>
      <c r="H700" s="38" t="s">
        <v>2123</v>
      </c>
      <c r="I700" s="38" t="s">
        <v>2124</v>
      </c>
      <c r="J700" s="38"/>
      <c r="K700" s="38"/>
      <c r="L700" s="38" t="s">
        <v>2136</v>
      </c>
      <c r="M700" s="38">
        <v>3</v>
      </c>
      <c r="N700" s="38"/>
      <c r="O700" s="10"/>
      <c r="P700" s="25" t="str">
        <f>HYPERLINK("http://biade.itrust.de/biade/lpext.dll?f=id&amp;id=biadb%3Ar%3A002190&amp;t=main-h.htm","2190")</f>
        <v>2190</v>
      </c>
    </row>
    <row r="701" spans="1:16" ht="15.75" thickBot="1">
      <c r="A701" s="6" t="s">
        <v>1912</v>
      </c>
      <c r="B701" s="10" t="s">
        <v>1913</v>
      </c>
      <c r="C701" s="11" t="s">
        <v>1914</v>
      </c>
      <c r="D701" s="10" t="s">
        <v>2134</v>
      </c>
      <c r="E701" s="38">
        <v>36</v>
      </c>
      <c r="F701" s="38" t="s">
        <v>2908</v>
      </c>
      <c r="G701" s="38"/>
      <c r="H701" s="38" t="s">
        <v>2687</v>
      </c>
      <c r="I701" s="38" t="s">
        <v>2124</v>
      </c>
      <c r="J701" s="38"/>
      <c r="K701" s="38"/>
      <c r="L701" s="38" t="s">
        <v>2165</v>
      </c>
      <c r="M701" s="38">
        <v>2</v>
      </c>
      <c r="N701" s="38"/>
      <c r="O701" s="10"/>
      <c r="P701" s="11"/>
    </row>
    <row r="702" spans="1:16" ht="15.75" thickBot="1">
      <c r="A702" s="6" t="s">
        <v>960</v>
      </c>
      <c r="B702" s="10" t="s">
        <v>1915</v>
      </c>
      <c r="C702" s="11" t="s">
        <v>1916</v>
      </c>
      <c r="D702" s="10" t="s">
        <v>3771</v>
      </c>
      <c r="E702" s="38" t="s">
        <v>1917</v>
      </c>
      <c r="F702" s="38" t="s">
        <v>1918</v>
      </c>
      <c r="G702" s="38"/>
      <c r="H702" s="38" t="s">
        <v>2687</v>
      </c>
      <c r="I702" s="38" t="s">
        <v>2124</v>
      </c>
      <c r="J702" s="38"/>
      <c r="K702" s="38" t="s">
        <v>2533</v>
      </c>
      <c r="L702" s="38" t="s">
        <v>2130</v>
      </c>
      <c r="M702" s="38">
        <v>1</v>
      </c>
      <c r="N702" s="38"/>
      <c r="O702" s="10"/>
      <c r="P702" s="25" t="str">
        <f>HYPERLINK("http://biade.itrust.de/biade/lpext.dll?f=id&amp;id=biadb%3Ar%3A011190&amp;t=main-h.htm","11190")</f>
        <v>11190</v>
      </c>
    </row>
    <row r="703" spans="1:16" ht="15">
      <c r="A703" s="49" t="s">
        <v>1919</v>
      </c>
      <c r="B703" s="7" t="s">
        <v>1920</v>
      </c>
      <c r="C703" s="51" t="s">
        <v>1922</v>
      </c>
      <c r="D703" s="49"/>
      <c r="E703" s="47"/>
      <c r="F703" s="47"/>
      <c r="G703" s="47"/>
      <c r="H703" s="47" t="s">
        <v>2123</v>
      </c>
      <c r="I703" s="47" t="s">
        <v>2124</v>
      </c>
      <c r="J703" s="47"/>
      <c r="K703" s="47"/>
      <c r="L703" s="47" t="s">
        <v>2165</v>
      </c>
      <c r="M703" s="47">
        <v>2</v>
      </c>
      <c r="N703" s="47"/>
      <c r="O703" s="49"/>
      <c r="P703" s="51"/>
    </row>
    <row r="704" spans="1:16" ht="15.75" thickBot="1">
      <c r="A704" s="50"/>
      <c r="B704" s="10" t="s">
        <v>1921</v>
      </c>
      <c r="C704" s="52"/>
      <c r="D704" s="50"/>
      <c r="E704" s="48"/>
      <c r="F704" s="48"/>
      <c r="G704" s="48"/>
      <c r="H704" s="48"/>
      <c r="I704" s="48"/>
      <c r="J704" s="48"/>
      <c r="K704" s="48"/>
      <c r="L704" s="48"/>
      <c r="M704" s="48"/>
      <c r="N704" s="48"/>
      <c r="O704" s="50"/>
      <c r="P704" s="52"/>
    </row>
    <row r="705" spans="1:16" ht="15.75" thickBot="1">
      <c r="A705" s="6" t="s">
        <v>1923</v>
      </c>
      <c r="B705" s="10" t="s">
        <v>1924</v>
      </c>
      <c r="C705" s="11" t="s">
        <v>1925</v>
      </c>
      <c r="D705" s="10" t="s">
        <v>1229</v>
      </c>
      <c r="E705" s="38">
        <v>45</v>
      </c>
      <c r="F705" s="38" t="s">
        <v>1231</v>
      </c>
      <c r="G705" s="38" t="s">
        <v>3931</v>
      </c>
      <c r="H705" s="38" t="s">
        <v>789</v>
      </c>
      <c r="I705" s="38" t="s">
        <v>2124</v>
      </c>
      <c r="J705" s="38"/>
      <c r="K705" s="38" t="s">
        <v>2188</v>
      </c>
      <c r="L705" s="38" t="s">
        <v>2130</v>
      </c>
      <c r="M705" s="38">
        <v>3</v>
      </c>
      <c r="N705" s="38"/>
      <c r="O705" s="10"/>
      <c r="P705" s="25" t="str">
        <f>HYPERLINK("http://biade.itrust.de/biade/lpext.dll?f=id&amp;id=biadb%3Ar%3A510656&amp;t=main-h.htm","510656")</f>
        <v>510656</v>
      </c>
    </row>
    <row r="706" spans="1:16" ht="15.75" thickBot="1">
      <c r="A706" s="6" t="s">
        <v>1926</v>
      </c>
      <c r="B706" s="10" t="s">
        <v>1927</v>
      </c>
      <c r="C706" s="11" t="s">
        <v>1928</v>
      </c>
      <c r="D706" s="10" t="s">
        <v>713</v>
      </c>
      <c r="E706" s="38" t="s">
        <v>1929</v>
      </c>
      <c r="F706" s="38" t="s">
        <v>2964</v>
      </c>
      <c r="G706" s="38"/>
      <c r="H706" s="38" t="s">
        <v>2687</v>
      </c>
      <c r="I706" s="38" t="s">
        <v>2124</v>
      </c>
      <c r="J706" s="38"/>
      <c r="K706" s="38"/>
      <c r="L706" s="38" t="s">
        <v>2165</v>
      </c>
      <c r="M706" s="38">
        <v>2</v>
      </c>
      <c r="N706" s="38" t="s">
        <v>1252</v>
      </c>
      <c r="O706" s="10"/>
      <c r="P706" s="11"/>
    </row>
    <row r="707" spans="1:16" ht="15.75" thickBot="1">
      <c r="A707" s="6" t="s">
        <v>1930</v>
      </c>
      <c r="B707" s="10" t="s">
        <v>1931</v>
      </c>
      <c r="C707" s="11" t="s">
        <v>1932</v>
      </c>
      <c r="D707" s="10" t="s">
        <v>2128</v>
      </c>
      <c r="E707" s="38">
        <v>22</v>
      </c>
      <c r="F707" s="38"/>
      <c r="G707" s="38"/>
      <c r="H707" s="38" t="s">
        <v>2687</v>
      </c>
      <c r="I707" s="38" t="s">
        <v>2124</v>
      </c>
      <c r="J707" s="38"/>
      <c r="K707" s="38"/>
      <c r="L707" s="38" t="s">
        <v>2165</v>
      </c>
      <c r="M707" s="38">
        <v>2</v>
      </c>
      <c r="N707" s="38"/>
      <c r="O707" s="10"/>
      <c r="P707" s="11"/>
    </row>
    <row r="708" spans="1:16" ht="15">
      <c r="A708" s="49" t="s">
        <v>1933</v>
      </c>
      <c r="B708" s="49" t="s">
        <v>1934</v>
      </c>
      <c r="C708" s="51" t="s">
        <v>1935</v>
      </c>
      <c r="D708" s="49" t="s">
        <v>2227</v>
      </c>
      <c r="E708" s="47" t="s">
        <v>1936</v>
      </c>
      <c r="F708" s="47" t="s">
        <v>3910</v>
      </c>
      <c r="G708" s="47"/>
      <c r="H708" s="47" t="s">
        <v>1282</v>
      </c>
      <c r="I708" s="39">
        <v>25</v>
      </c>
      <c r="J708" s="47">
        <v>2</v>
      </c>
      <c r="K708" s="47"/>
      <c r="L708" s="47" t="s">
        <v>2130</v>
      </c>
      <c r="M708" s="47">
        <v>1</v>
      </c>
      <c r="N708" s="47" t="s">
        <v>1209</v>
      </c>
      <c r="O708" s="49"/>
      <c r="P708" s="51"/>
    </row>
    <row r="709" spans="1:16" ht="15.75" thickBot="1">
      <c r="A709" s="50"/>
      <c r="B709" s="50"/>
      <c r="C709" s="52"/>
      <c r="D709" s="50"/>
      <c r="E709" s="48"/>
      <c r="F709" s="48"/>
      <c r="G709" s="48"/>
      <c r="H709" s="48"/>
      <c r="I709" s="38">
        <v>10</v>
      </c>
      <c r="J709" s="48"/>
      <c r="K709" s="48"/>
      <c r="L709" s="48"/>
      <c r="M709" s="48"/>
      <c r="N709" s="48"/>
      <c r="O709" s="50"/>
      <c r="P709" s="52"/>
    </row>
    <row r="710" spans="1:16" ht="15">
      <c r="A710" s="49" t="s">
        <v>1210</v>
      </c>
      <c r="B710" s="49" t="s">
        <v>1211</v>
      </c>
      <c r="C710" s="51" t="s">
        <v>1212</v>
      </c>
      <c r="D710" s="49" t="s">
        <v>2227</v>
      </c>
      <c r="E710" s="47" t="s">
        <v>2402</v>
      </c>
      <c r="F710" s="47" t="s">
        <v>3884</v>
      </c>
      <c r="G710" s="47"/>
      <c r="H710" s="47" t="s">
        <v>2687</v>
      </c>
      <c r="I710" s="39">
        <v>21</v>
      </c>
      <c r="J710" s="47">
        <v>1</v>
      </c>
      <c r="K710" s="47" t="s">
        <v>2533</v>
      </c>
      <c r="L710" s="47" t="s">
        <v>2130</v>
      </c>
      <c r="M710" s="47">
        <v>1</v>
      </c>
      <c r="N710" s="47" t="s">
        <v>2403</v>
      </c>
      <c r="O710" s="49"/>
      <c r="P710" s="51"/>
    </row>
    <row r="711" spans="1:16" ht="15.75" thickBot="1">
      <c r="A711" s="50"/>
      <c r="B711" s="50"/>
      <c r="C711" s="52"/>
      <c r="D711" s="50"/>
      <c r="E711" s="48"/>
      <c r="F711" s="48"/>
      <c r="G711" s="48"/>
      <c r="H711" s="48"/>
      <c r="I711" s="38">
        <v>5</v>
      </c>
      <c r="J711" s="48"/>
      <c r="K711" s="48"/>
      <c r="L711" s="48"/>
      <c r="M711" s="48"/>
      <c r="N711" s="48"/>
      <c r="O711" s="50"/>
      <c r="P711" s="52"/>
    </row>
    <row r="712" spans="1:16" ht="15.75" thickBot="1">
      <c r="A712" s="21" t="s">
        <v>2404</v>
      </c>
      <c r="B712" s="22"/>
      <c r="C712" s="23" t="s">
        <v>2405</v>
      </c>
      <c r="D712" s="22" t="s">
        <v>2476</v>
      </c>
      <c r="E712" s="43">
        <v>12</v>
      </c>
      <c r="F712" s="43" t="s">
        <v>2507</v>
      </c>
      <c r="G712" s="43"/>
      <c r="H712" s="43" t="s">
        <v>500</v>
      </c>
      <c r="I712" s="43" t="s">
        <v>2124</v>
      </c>
      <c r="J712" s="43"/>
      <c r="K712" s="43" t="s">
        <v>2457</v>
      </c>
      <c r="L712" s="43" t="s">
        <v>2202</v>
      </c>
      <c r="M712" s="43" t="s">
        <v>2221</v>
      </c>
      <c r="N712" s="43"/>
      <c r="O712" s="22"/>
      <c r="P712" s="35" t="str">
        <f>HYPERLINK("http://biade.itrust.de/biade/lpext.dll?f=id&amp;id=biadb%3Ar%3A010010&amp;t=main-h.htm","10010")</f>
        <v>10010</v>
      </c>
    </row>
    <row r="713" spans="1:16" ht="15">
      <c r="A713" s="49" t="s">
        <v>3216</v>
      </c>
      <c r="B713" s="49" t="s">
        <v>2244</v>
      </c>
      <c r="C713" s="51" t="s">
        <v>2406</v>
      </c>
      <c r="D713" s="49" t="s">
        <v>2802</v>
      </c>
      <c r="E713" s="47" t="s">
        <v>2407</v>
      </c>
      <c r="F713" s="47" t="s">
        <v>1904</v>
      </c>
      <c r="G713" s="47" t="s">
        <v>2181</v>
      </c>
      <c r="H713" s="47" t="s">
        <v>501</v>
      </c>
      <c r="I713" s="39">
        <v>91</v>
      </c>
      <c r="J713" s="47" t="s">
        <v>2408</v>
      </c>
      <c r="K713" s="47" t="s">
        <v>2503</v>
      </c>
      <c r="L713" s="47" t="s">
        <v>2130</v>
      </c>
      <c r="M713" s="47">
        <v>1</v>
      </c>
      <c r="N713" s="47" t="s">
        <v>1980</v>
      </c>
      <c r="O713" s="49"/>
      <c r="P713" s="51"/>
    </row>
    <row r="714" spans="1:16" ht="15.75" thickBot="1">
      <c r="A714" s="50"/>
      <c r="B714" s="50"/>
      <c r="C714" s="52"/>
      <c r="D714" s="50"/>
      <c r="E714" s="48"/>
      <c r="F714" s="48"/>
      <c r="G714" s="48"/>
      <c r="H714" s="48"/>
      <c r="I714" s="38">
        <v>50</v>
      </c>
      <c r="J714" s="48"/>
      <c r="K714" s="48"/>
      <c r="L714" s="48"/>
      <c r="M714" s="48"/>
      <c r="N714" s="48"/>
      <c r="O714" s="50"/>
      <c r="P714" s="52"/>
    </row>
    <row r="715" spans="1:16" ht="15">
      <c r="A715" s="5" t="s">
        <v>2409</v>
      </c>
      <c r="B715" s="49"/>
      <c r="C715" s="51" t="s">
        <v>2411</v>
      </c>
      <c r="D715" s="49" t="s">
        <v>3859</v>
      </c>
      <c r="E715" s="47">
        <v>11</v>
      </c>
      <c r="F715" s="47" t="s">
        <v>2412</v>
      </c>
      <c r="G715" s="47"/>
      <c r="H715" s="47" t="s">
        <v>2687</v>
      </c>
      <c r="I715" s="39">
        <v>960</v>
      </c>
      <c r="J715" s="47">
        <v>2</v>
      </c>
      <c r="K715" s="47" t="s">
        <v>2533</v>
      </c>
      <c r="L715" s="47" t="s">
        <v>2130</v>
      </c>
      <c r="M715" s="47">
        <v>1</v>
      </c>
      <c r="N715" s="47"/>
      <c r="O715" s="49"/>
      <c r="P715" s="51"/>
    </row>
    <row r="716" spans="1:16" ht="15.75" thickBot="1">
      <c r="A716" s="6" t="s">
        <v>2410</v>
      </c>
      <c r="B716" s="50"/>
      <c r="C716" s="52"/>
      <c r="D716" s="50"/>
      <c r="E716" s="48"/>
      <c r="F716" s="48"/>
      <c r="G716" s="48"/>
      <c r="H716" s="48"/>
      <c r="I716" s="38">
        <v>500</v>
      </c>
      <c r="J716" s="48"/>
      <c r="K716" s="48"/>
      <c r="L716" s="48"/>
      <c r="M716" s="48"/>
      <c r="N716" s="48"/>
      <c r="O716" s="50"/>
      <c r="P716" s="52"/>
    </row>
    <row r="717" spans="1:16" ht="15">
      <c r="A717" s="5" t="s">
        <v>2413</v>
      </c>
      <c r="B717" s="7" t="s">
        <v>2415</v>
      </c>
      <c r="C717" s="51" t="s">
        <v>2411</v>
      </c>
      <c r="D717" s="49" t="s">
        <v>3859</v>
      </c>
      <c r="E717" s="47">
        <v>11</v>
      </c>
      <c r="F717" s="47" t="s">
        <v>2412</v>
      </c>
      <c r="G717" s="47"/>
      <c r="H717" s="47" t="s">
        <v>2687</v>
      </c>
      <c r="I717" s="39">
        <v>960</v>
      </c>
      <c r="J717" s="47">
        <v>2</v>
      </c>
      <c r="K717" s="47" t="s">
        <v>2533</v>
      </c>
      <c r="L717" s="47" t="s">
        <v>2130</v>
      </c>
      <c r="M717" s="47">
        <v>1</v>
      </c>
      <c r="N717" s="47"/>
      <c r="O717" s="49"/>
      <c r="P717" s="51"/>
    </row>
    <row r="718" spans="1:16" ht="15.75" thickBot="1">
      <c r="A718" s="6" t="s">
        <v>2414</v>
      </c>
      <c r="B718" s="10" t="s">
        <v>1262</v>
      </c>
      <c r="C718" s="52"/>
      <c r="D718" s="50"/>
      <c r="E718" s="48"/>
      <c r="F718" s="48"/>
      <c r="G718" s="48"/>
      <c r="H718" s="48"/>
      <c r="I718" s="38" t="s">
        <v>2416</v>
      </c>
      <c r="J718" s="48"/>
      <c r="K718" s="48"/>
      <c r="L718" s="48"/>
      <c r="M718" s="48"/>
      <c r="N718" s="48"/>
      <c r="O718" s="50"/>
      <c r="P718" s="52"/>
    </row>
    <row r="719" spans="1:16" ht="15.75" thickBot="1">
      <c r="A719" s="6" t="s">
        <v>2417</v>
      </c>
      <c r="B719" s="10" t="s">
        <v>2418</v>
      </c>
      <c r="C719" s="11" t="s">
        <v>2419</v>
      </c>
      <c r="D719" s="10" t="s">
        <v>2476</v>
      </c>
      <c r="E719" s="38" t="s">
        <v>2420</v>
      </c>
      <c r="F719" s="38" t="s">
        <v>2421</v>
      </c>
      <c r="G719" s="38" t="s">
        <v>2182</v>
      </c>
      <c r="H719" s="38" t="s">
        <v>503</v>
      </c>
      <c r="I719" s="38" t="s">
        <v>2124</v>
      </c>
      <c r="J719" s="38"/>
      <c r="K719" s="38" t="s">
        <v>2457</v>
      </c>
      <c r="L719" s="38" t="s">
        <v>2202</v>
      </c>
      <c r="M719" s="38" t="s">
        <v>2221</v>
      </c>
      <c r="N719" s="38"/>
      <c r="O719" s="10"/>
      <c r="P719" s="25" t="str">
        <f>HYPERLINK("http://biade.itrust.de/biade/lpext.dll?f=id&amp;id=biadb%3Ar%3A012710&amp;t=main-h.htm","12710")</f>
        <v>12710</v>
      </c>
    </row>
    <row r="720" spans="1:16" ht="15.75" thickBot="1">
      <c r="A720" s="6" t="s">
        <v>2422</v>
      </c>
      <c r="B720" s="10"/>
      <c r="C720" s="11" t="s">
        <v>2423</v>
      </c>
      <c r="D720" s="10" t="s">
        <v>4010</v>
      </c>
      <c r="E720" s="38" t="s">
        <v>2424</v>
      </c>
      <c r="F720" s="38" t="s">
        <v>2425</v>
      </c>
      <c r="G720" s="38" t="s">
        <v>2182</v>
      </c>
      <c r="H720" s="38" t="s">
        <v>2901</v>
      </c>
      <c r="I720" s="38" t="s">
        <v>2124</v>
      </c>
      <c r="J720" s="38"/>
      <c r="K720" s="38" t="s">
        <v>2157</v>
      </c>
      <c r="L720" s="38" t="s">
        <v>2165</v>
      </c>
      <c r="M720" s="38">
        <v>3</v>
      </c>
      <c r="N720" s="38"/>
      <c r="O720" s="10"/>
      <c r="P720" s="25" t="str">
        <f>HYPERLINK("http://biade.itrust.de/biade/lpext.dll?f=id&amp;id=biadb%3Ar%3A109233&amp;t=main-h.htm","109233")</f>
        <v>109233</v>
      </c>
    </row>
    <row r="721" spans="1:16" ht="15.75" thickBot="1">
      <c r="A721" s="6" t="s">
        <v>2426</v>
      </c>
      <c r="B721" s="10" t="s">
        <v>2427</v>
      </c>
      <c r="C721" s="11" t="s">
        <v>2428</v>
      </c>
      <c r="D721" s="10" t="s">
        <v>2476</v>
      </c>
      <c r="E721" s="38" t="s">
        <v>2429</v>
      </c>
      <c r="F721" s="38" t="s">
        <v>2507</v>
      </c>
      <c r="G721" s="38"/>
      <c r="H721" s="38" t="s">
        <v>500</v>
      </c>
      <c r="I721" s="38" t="s">
        <v>2124</v>
      </c>
      <c r="J721" s="38"/>
      <c r="K721" s="38" t="s">
        <v>2457</v>
      </c>
      <c r="L721" s="38" t="s">
        <v>2202</v>
      </c>
      <c r="M721" s="38" t="s">
        <v>2221</v>
      </c>
      <c r="N721" s="38"/>
      <c r="O721" s="10"/>
      <c r="P721" s="25" t="str">
        <f>HYPERLINK("http://biade.itrust.de/biade/lpext.dll?f=id&amp;id=biadb%3Ar%3A013570&amp;t=main-h.htm","13570")</f>
        <v>13570</v>
      </c>
    </row>
    <row r="722" spans="1:16" ht="22.5" customHeight="1">
      <c r="A722" s="49" t="s">
        <v>2430</v>
      </c>
      <c r="B722" s="49" t="s">
        <v>1113</v>
      </c>
      <c r="C722" s="51" t="s">
        <v>2246</v>
      </c>
      <c r="D722" s="49" t="s">
        <v>1229</v>
      </c>
      <c r="E722" s="47" t="s">
        <v>2247</v>
      </c>
      <c r="F722" s="47" t="s">
        <v>1231</v>
      </c>
      <c r="G722" s="47" t="s">
        <v>766</v>
      </c>
      <c r="H722" s="47" t="s">
        <v>2567</v>
      </c>
      <c r="I722" s="39">
        <v>5</v>
      </c>
      <c r="J722" s="47">
        <v>8</v>
      </c>
      <c r="K722" s="47" t="s">
        <v>2189</v>
      </c>
      <c r="L722" s="47" t="s">
        <v>2130</v>
      </c>
      <c r="M722" s="47">
        <v>1</v>
      </c>
      <c r="N722" s="47"/>
      <c r="O722" s="49"/>
      <c r="P722" s="51"/>
    </row>
    <row r="723" spans="1:16" ht="15.75" thickBot="1">
      <c r="A723" s="50"/>
      <c r="B723" s="50"/>
      <c r="C723" s="52"/>
      <c r="D723" s="50"/>
      <c r="E723" s="48"/>
      <c r="F723" s="48"/>
      <c r="G723" s="48"/>
      <c r="H723" s="48"/>
      <c r="I723" s="38">
        <v>27</v>
      </c>
      <c r="J723" s="48"/>
      <c r="K723" s="48"/>
      <c r="L723" s="48"/>
      <c r="M723" s="48"/>
      <c r="N723" s="48"/>
      <c r="O723" s="50"/>
      <c r="P723" s="52"/>
    </row>
    <row r="724" spans="1:16" ht="26.25" thickBot="1">
      <c r="A724" s="6" t="s">
        <v>961</v>
      </c>
      <c r="B724" s="10" t="s">
        <v>1112</v>
      </c>
      <c r="C724" s="11" t="s">
        <v>2248</v>
      </c>
      <c r="D724" s="10" t="s">
        <v>2134</v>
      </c>
      <c r="E724" s="38" t="s">
        <v>2162</v>
      </c>
      <c r="F724" s="38" t="s">
        <v>2163</v>
      </c>
      <c r="G724" s="38"/>
      <c r="H724" s="38" t="s">
        <v>2687</v>
      </c>
      <c r="I724" s="38" t="s">
        <v>2124</v>
      </c>
      <c r="J724" s="38"/>
      <c r="K724" s="38"/>
      <c r="L724" s="38" t="s">
        <v>2165</v>
      </c>
      <c r="M724" s="38"/>
      <c r="N724" s="38"/>
      <c r="O724" s="10"/>
      <c r="P724" s="11"/>
    </row>
    <row r="725" spans="1:16" ht="26.25" thickBot="1">
      <c r="A725" s="6" t="s">
        <v>2249</v>
      </c>
      <c r="B725" s="10" t="s">
        <v>1111</v>
      </c>
      <c r="C725" s="11" t="s">
        <v>3934</v>
      </c>
      <c r="D725" s="10" t="s">
        <v>2134</v>
      </c>
      <c r="E725" s="38">
        <v>43</v>
      </c>
      <c r="F725" s="38" t="s">
        <v>3935</v>
      </c>
      <c r="G725" s="38" t="s">
        <v>2184</v>
      </c>
      <c r="H725" s="38" t="s">
        <v>2687</v>
      </c>
      <c r="I725" s="38" t="s">
        <v>2124</v>
      </c>
      <c r="J725" s="38"/>
      <c r="K725" s="38"/>
      <c r="L725" s="38" t="s">
        <v>2165</v>
      </c>
      <c r="M725" s="38">
        <v>2</v>
      </c>
      <c r="N725" s="38" t="s">
        <v>2250</v>
      </c>
      <c r="O725" s="10"/>
      <c r="P725" s="25" t="str">
        <f>HYPERLINK("http://biade.itrust.de/biade/lpext.dll?f=id&amp;id=biadb%3Ar%3A034490&amp;t=main-h.htm","34490")</f>
        <v>34490</v>
      </c>
    </row>
    <row r="726" spans="1:16" ht="26.25" thickBot="1">
      <c r="A726" s="6" t="s">
        <v>962</v>
      </c>
      <c r="B726" s="10" t="s">
        <v>1110</v>
      </c>
      <c r="C726" s="11" t="s">
        <v>2251</v>
      </c>
      <c r="D726" s="10"/>
      <c r="E726" s="38"/>
      <c r="F726" s="38"/>
      <c r="G726" s="38"/>
      <c r="H726" s="38" t="s">
        <v>2123</v>
      </c>
      <c r="I726" s="38" t="s">
        <v>2124</v>
      </c>
      <c r="J726" s="38"/>
      <c r="K726" s="38"/>
      <c r="L726" s="38" t="s">
        <v>2165</v>
      </c>
      <c r="M726" s="38">
        <v>1</v>
      </c>
      <c r="N726" s="38"/>
      <c r="O726" s="10"/>
      <c r="P726" s="25" t="str">
        <f>HYPERLINK("http://biade.itrust.de/biade/lpext.dll?f=id&amp;id=biadb%3Ar%3A025860&amp;t=main-h.htm","25860")</f>
        <v>25860</v>
      </c>
    </row>
    <row r="727" spans="1:16" ht="15">
      <c r="A727" s="49" t="s">
        <v>2252</v>
      </c>
      <c r="B727" s="49" t="s">
        <v>2253</v>
      </c>
      <c r="C727" s="51" t="s">
        <v>2254</v>
      </c>
      <c r="D727" s="49" t="s">
        <v>3771</v>
      </c>
      <c r="E727" s="47" t="s">
        <v>3772</v>
      </c>
      <c r="F727" s="47" t="s">
        <v>2255</v>
      </c>
      <c r="G727" s="47"/>
      <c r="H727" s="47" t="s">
        <v>2687</v>
      </c>
      <c r="I727" s="39">
        <v>1500</v>
      </c>
      <c r="J727" s="47">
        <v>2</v>
      </c>
      <c r="K727" s="39" t="s">
        <v>3774</v>
      </c>
      <c r="L727" s="47" t="s">
        <v>2130</v>
      </c>
      <c r="M727" s="47">
        <v>1</v>
      </c>
      <c r="N727" s="47"/>
      <c r="O727" s="49"/>
      <c r="P727" s="51"/>
    </row>
    <row r="728" spans="1:16" ht="15.75" thickBot="1">
      <c r="A728" s="50"/>
      <c r="B728" s="50"/>
      <c r="C728" s="52"/>
      <c r="D728" s="50"/>
      <c r="E728" s="48"/>
      <c r="F728" s="48"/>
      <c r="G728" s="48"/>
      <c r="H728" s="48"/>
      <c r="I728" s="38">
        <v>400</v>
      </c>
      <c r="J728" s="48"/>
      <c r="K728" s="38" t="s">
        <v>3775</v>
      </c>
      <c r="L728" s="48"/>
      <c r="M728" s="48"/>
      <c r="N728" s="48"/>
      <c r="O728" s="50"/>
      <c r="P728" s="52"/>
    </row>
    <row r="729" spans="1:16" ht="26.25" thickBot="1">
      <c r="A729" s="6" t="s">
        <v>2256</v>
      </c>
      <c r="B729" s="10" t="s">
        <v>2257</v>
      </c>
      <c r="C729" s="11" t="s">
        <v>2258</v>
      </c>
      <c r="D729" s="10" t="s">
        <v>2134</v>
      </c>
      <c r="E729" s="38">
        <v>36</v>
      </c>
      <c r="F729" s="38">
        <v>24</v>
      </c>
      <c r="G729" s="38"/>
      <c r="H729" s="38" t="s">
        <v>2687</v>
      </c>
      <c r="I729" s="38" t="s">
        <v>2124</v>
      </c>
      <c r="J729" s="38"/>
      <c r="K729" s="38" t="s">
        <v>2188</v>
      </c>
      <c r="L729" s="38" t="s">
        <v>2130</v>
      </c>
      <c r="M729" s="38">
        <v>1</v>
      </c>
      <c r="N729" s="38"/>
      <c r="O729" s="10"/>
      <c r="P729" s="25" t="str">
        <f>HYPERLINK("http://biade.itrust.de/biade/lpext.dll?f=id&amp;id=biadb%3Ar%3A010400&amp;t=main-h.htm","10400")</f>
        <v>10400</v>
      </c>
    </row>
    <row r="730" spans="1:16" ht="15">
      <c r="A730" s="49" t="s">
        <v>2259</v>
      </c>
      <c r="B730" s="49" t="s">
        <v>2260</v>
      </c>
      <c r="C730" s="51" t="s">
        <v>2261</v>
      </c>
      <c r="D730" s="49" t="s">
        <v>3778</v>
      </c>
      <c r="E730" s="47" t="s">
        <v>2262</v>
      </c>
      <c r="F730" s="47" t="s">
        <v>2263</v>
      </c>
      <c r="G730" s="47" t="s">
        <v>2264</v>
      </c>
      <c r="H730" s="47" t="s">
        <v>2687</v>
      </c>
      <c r="I730" s="39">
        <v>21</v>
      </c>
      <c r="J730" s="47">
        <v>2</v>
      </c>
      <c r="K730" s="47" t="s">
        <v>2503</v>
      </c>
      <c r="L730" s="47" t="s">
        <v>2130</v>
      </c>
      <c r="M730" s="47">
        <v>2</v>
      </c>
      <c r="N730" s="47" t="s">
        <v>4001</v>
      </c>
      <c r="O730" s="49"/>
      <c r="P730" s="51"/>
    </row>
    <row r="731" spans="1:16" ht="15.75" thickBot="1">
      <c r="A731" s="50"/>
      <c r="B731" s="50"/>
      <c r="C731" s="52"/>
      <c r="D731" s="50"/>
      <c r="E731" s="48"/>
      <c r="F731" s="48"/>
      <c r="G731" s="48"/>
      <c r="H731" s="48"/>
      <c r="I731" s="38">
        <v>5</v>
      </c>
      <c r="J731" s="48"/>
      <c r="K731" s="48"/>
      <c r="L731" s="48"/>
      <c r="M731" s="48"/>
      <c r="N731" s="48"/>
      <c r="O731" s="50"/>
      <c r="P731" s="52"/>
    </row>
    <row r="732" spans="1:16" ht="15.75" thickBot="1">
      <c r="A732" s="6" t="s">
        <v>963</v>
      </c>
      <c r="B732" s="10" t="s">
        <v>2177</v>
      </c>
      <c r="C732" s="11" t="s">
        <v>2265</v>
      </c>
      <c r="D732" s="10" t="s">
        <v>2134</v>
      </c>
      <c r="E732" s="38" t="s">
        <v>2162</v>
      </c>
      <c r="F732" s="38" t="s">
        <v>2163</v>
      </c>
      <c r="G732" s="38"/>
      <c r="H732" s="38" t="s">
        <v>2687</v>
      </c>
      <c r="I732" s="38" t="s">
        <v>2124</v>
      </c>
      <c r="J732" s="38"/>
      <c r="K732" s="38"/>
      <c r="L732" s="38" t="s">
        <v>2194</v>
      </c>
      <c r="M732" s="38">
        <v>1</v>
      </c>
      <c r="N732" s="38"/>
      <c r="O732" s="10"/>
      <c r="P732" s="25" t="str">
        <f>HYPERLINK("http://biade.itrust.de/biade/lpext.dll?f=id&amp;id=biadb%3Ar%3A493275&amp;t=main-h.htm","493275")</f>
        <v>493275</v>
      </c>
    </row>
    <row r="733" spans="1:16" ht="15.75" thickBot="1">
      <c r="A733" s="6" t="s">
        <v>2266</v>
      </c>
      <c r="B733" s="10"/>
      <c r="C733" s="11" t="s">
        <v>2267</v>
      </c>
      <c r="D733" s="10" t="s">
        <v>1229</v>
      </c>
      <c r="E733" s="38" t="s">
        <v>2268</v>
      </c>
      <c r="F733" s="38" t="s">
        <v>2269</v>
      </c>
      <c r="G733" s="38"/>
      <c r="H733" s="38" t="s">
        <v>1282</v>
      </c>
      <c r="I733" s="38" t="s">
        <v>2124</v>
      </c>
      <c r="J733" s="38"/>
      <c r="K733" s="38" t="s">
        <v>2189</v>
      </c>
      <c r="L733" s="38" t="s">
        <v>2130</v>
      </c>
      <c r="M733" s="38">
        <v>1</v>
      </c>
      <c r="N733" s="38" t="s">
        <v>3993</v>
      </c>
      <c r="O733" s="10"/>
      <c r="P733" s="25" t="str">
        <f>HYPERLINK("http://biade.itrust.de/biade/lpext.dll?f=id&amp;id=biadb%3Ar%3A016880&amp;t=main-h.htm","16880")</f>
        <v>16880</v>
      </c>
    </row>
    <row r="734" spans="1:16" ht="26.25" thickBot="1">
      <c r="A734" s="6" t="s">
        <v>2270</v>
      </c>
      <c r="B734" s="10" t="s">
        <v>2271</v>
      </c>
      <c r="C734" s="11" t="s">
        <v>2272</v>
      </c>
      <c r="D734" s="10" t="s">
        <v>2134</v>
      </c>
      <c r="E734" s="38" t="s">
        <v>2135</v>
      </c>
      <c r="F734" s="38"/>
      <c r="G734" s="38"/>
      <c r="H734" s="38" t="s">
        <v>2164</v>
      </c>
      <c r="I734" s="38" t="s">
        <v>2124</v>
      </c>
      <c r="J734" s="38"/>
      <c r="K734" s="38" t="s">
        <v>2188</v>
      </c>
      <c r="L734" s="38" t="s">
        <v>2130</v>
      </c>
      <c r="M734" s="38">
        <v>1</v>
      </c>
      <c r="N734" s="38"/>
      <c r="O734" s="10"/>
      <c r="P734" s="25" t="str">
        <f>HYPERLINK("http://biade.itrust.de/biade/lpext.dll?f=id&amp;id=biadb%3Ar%3A490111&amp;t=main-h.htm","490111")</f>
        <v>490111</v>
      </c>
    </row>
    <row r="735" spans="1:16" ht="15">
      <c r="A735" s="49" t="s">
        <v>2273</v>
      </c>
      <c r="B735" s="49"/>
      <c r="C735" s="51" t="s">
        <v>2274</v>
      </c>
      <c r="D735" s="49" t="s">
        <v>3778</v>
      </c>
      <c r="E735" s="47" t="s">
        <v>2500</v>
      </c>
      <c r="F735" s="47" t="s">
        <v>2275</v>
      </c>
      <c r="G735" s="47" t="s">
        <v>2183</v>
      </c>
      <c r="H735" s="47" t="s">
        <v>2718</v>
      </c>
      <c r="I735" s="39">
        <v>440</v>
      </c>
      <c r="J735" s="47">
        <v>2</v>
      </c>
      <c r="K735" s="47" t="s">
        <v>2533</v>
      </c>
      <c r="L735" s="47" t="s">
        <v>2130</v>
      </c>
      <c r="M735" s="47">
        <v>1</v>
      </c>
      <c r="N735" s="47" t="s">
        <v>2144</v>
      </c>
      <c r="O735" s="49"/>
      <c r="P735" s="51"/>
    </row>
    <row r="736" spans="1:16" ht="15.75" thickBot="1">
      <c r="A736" s="50"/>
      <c r="B736" s="50"/>
      <c r="C736" s="52"/>
      <c r="D736" s="50"/>
      <c r="E736" s="48"/>
      <c r="F736" s="48"/>
      <c r="G736" s="48"/>
      <c r="H736" s="48"/>
      <c r="I736" s="38">
        <v>100</v>
      </c>
      <c r="J736" s="48"/>
      <c r="K736" s="48"/>
      <c r="L736" s="48"/>
      <c r="M736" s="48"/>
      <c r="N736" s="48"/>
      <c r="O736" s="50"/>
      <c r="P736" s="52"/>
    </row>
    <row r="737" spans="1:16" ht="26.25" thickBot="1">
      <c r="A737" s="6" t="s">
        <v>2276</v>
      </c>
      <c r="B737" s="10" t="s">
        <v>1109</v>
      </c>
      <c r="C737" s="11" t="s">
        <v>2277</v>
      </c>
      <c r="D737" s="10"/>
      <c r="E737" s="38">
        <v>10</v>
      </c>
      <c r="F737" s="38" t="s">
        <v>4026</v>
      </c>
      <c r="G737" s="38"/>
      <c r="H737" s="38" t="s">
        <v>1277</v>
      </c>
      <c r="I737" s="38" t="s">
        <v>2124</v>
      </c>
      <c r="J737" s="38"/>
      <c r="K737" s="38" t="s">
        <v>2533</v>
      </c>
      <c r="L737" s="38" t="s">
        <v>2130</v>
      </c>
      <c r="M737" s="38">
        <v>1</v>
      </c>
      <c r="N737" s="38"/>
      <c r="O737" s="10"/>
      <c r="P737" s="25" t="str">
        <f>HYPERLINK("http://biade.itrust.de/biade/lpext.dll?f=id&amp;id=biadb%3Ar%3A037450&amp;t=main-h.htm","37450")</f>
        <v>37450</v>
      </c>
    </row>
    <row r="738" spans="1:16" ht="26.25" thickBot="1">
      <c r="A738" s="6" t="s">
        <v>2278</v>
      </c>
      <c r="B738" s="10" t="s">
        <v>1108</v>
      </c>
      <c r="C738" s="11" t="s">
        <v>2279</v>
      </c>
      <c r="D738" s="10"/>
      <c r="E738" s="38"/>
      <c r="F738" s="38" t="s">
        <v>845</v>
      </c>
      <c r="G738" s="38"/>
      <c r="H738" s="38" t="s">
        <v>2123</v>
      </c>
      <c r="I738" s="38" t="s">
        <v>2124</v>
      </c>
      <c r="J738" s="38"/>
      <c r="K738" s="38"/>
      <c r="L738" s="38" t="s">
        <v>2130</v>
      </c>
      <c r="M738" s="38">
        <v>1</v>
      </c>
      <c r="N738" s="38"/>
      <c r="O738" s="10"/>
      <c r="P738" s="25" t="str">
        <f>HYPERLINK("http://biade.itrust.de/biade/lpext.dll?f=id&amp;id=biadb%3Ar%3A492646&amp;t=main-h.htm","492646")</f>
        <v>492646</v>
      </c>
    </row>
    <row r="739" spans="1:16" ht="15">
      <c r="A739" s="5" t="s">
        <v>2280</v>
      </c>
      <c r="B739" s="49" t="s">
        <v>4140</v>
      </c>
      <c r="C739" s="51" t="s">
        <v>2282</v>
      </c>
      <c r="D739" s="49"/>
      <c r="E739" s="47"/>
      <c r="F739" s="47"/>
      <c r="G739" s="47"/>
      <c r="H739" s="47" t="s">
        <v>2123</v>
      </c>
      <c r="I739" s="47" t="s">
        <v>2124</v>
      </c>
      <c r="J739" s="47"/>
      <c r="K739" s="47"/>
      <c r="L739" s="47" t="s">
        <v>2130</v>
      </c>
      <c r="M739" s="47">
        <v>2</v>
      </c>
      <c r="N739" s="47"/>
      <c r="O739" s="49"/>
      <c r="P739" s="51"/>
    </row>
    <row r="740" spans="1:16" ht="15">
      <c r="A740" s="5" t="s">
        <v>2281</v>
      </c>
      <c r="B740" s="56"/>
      <c r="C740" s="57"/>
      <c r="D740" s="56"/>
      <c r="E740" s="55"/>
      <c r="F740" s="55"/>
      <c r="G740" s="55"/>
      <c r="H740" s="55"/>
      <c r="I740" s="55"/>
      <c r="J740" s="55"/>
      <c r="K740" s="55"/>
      <c r="L740" s="55"/>
      <c r="M740" s="55"/>
      <c r="N740" s="55"/>
      <c r="O740" s="56"/>
      <c r="P740" s="57"/>
    </row>
    <row r="741" spans="1:16" ht="15.75" thickBot="1">
      <c r="A741" s="6" t="s">
        <v>2655</v>
      </c>
      <c r="B741" s="50"/>
      <c r="C741" s="52"/>
      <c r="D741" s="50"/>
      <c r="E741" s="48"/>
      <c r="F741" s="48"/>
      <c r="G741" s="48"/>
      <c r="H741" s="48"/>
      <c r="I741" s="48"/>
      <c r="J741" s="48"/>
      <c r="K741" s="48"/>
      <c r="L741" s="48"/>
      <c r="M741" s="48"/>
      <c r="N741" s="48"/>
      <c r="O741" s="50"/>
      <c r="P741" s="52"/>
    </row>
    <row r="742" spans="1:16" ht="15">
      <c r="A742" s="49" t="s">
        <v>2283</v>
      </c>
      <c r="B742" s="49" t="s">
        <v>1107</v>
      </c>
      <c r="C742" s="51" t="s">
        <v>2284</v>
      </c>
      <c r="D742" s="49" t="s">
        <v>2128</v>
      </c>
      <c r="E742" s="47">
        <v>22</v>
      </c>
      <c r="F742" s="47"/>
      <c r="G742" s="47" t="s">
        <v>2183</v>
      </c>
      <c r="H742" s="47" t="s">
        <v>2687</v>
      </c>
      <c r="I742" s="39">
        <v>26</v>
      </c>
      <c r="J742" s="47">
        <v>2</v>
      </c>
      <c r="K742" s="47"/>
      <c r="L742" s="47" t="s">
        <v>2130</v>
      </c>
      <c r="M742" s="47">
        <v>1</v>
      </c>
      <c r="N742" s="47" t="s">
        <v>2144</v>
      </c>
      <c r="O742" s="49"/>
      <c r="P742" s="51"/>
    </row>
    <row r="743" spans="1:16" ht="15.75" thickBot="1">
      <c r="A743" s="50"/>
      <c r="B743" s="50"/>
      <c r="C743" s="52"/>
      <c r="D743" s="50"/>
      <c r="E743" s="48"/>
      <c r="F743" s="48"/>
      <c r="G743" s="48"/>
      <c r="H743" s="48"/>
      <c r="I743" s="38">
        <v>10</v>
      </c>
      <c r="J743" s="48"/>
      <c r="K743" s="48"/>
      <c r="L743" s="48"/>
      <c r="M743" s="48"/>
      <c r="N743" s="48"/>
      <c r="O743" s="50"/>
      <c r="P743" s="52"/>
    </row>
    <row r="744" spans="1:16" ht="15">
      <c r="A744" s="49" t="s">
        <v>2285</v>
      </c>
      <c r="B744" s="49" t="s">
        <v>2286</v>
      </c>
      <c r="C744" s="51" t="s">
        <v>2287</v>
      </c>
      <c r="D744" s="49" t="s">
        <v>3778</v>
      </c>
      <c r="E744" s="47" t="s">
        <v>2288</v>
      </c>
      <c r="F744" s="47" t="s">
        <v>2289</v>
      </c>
      <c r="G744" s="47" t="s">
        <v>2183</v>
      </c>
      <c r="H744" s="47" t="s">
        <v>2687</v>
      </c>
      <c r="I744" s="42">
        <v>310</v>
      </c>
      <c r="J744" s="47">
        <v>1</v>
      </c>
      <c r="K744" s="47" t="s">
        <v>2503</v>
      </c>
      <c r="L744" s="47" t="s">
        <v>2130</v>
      </c>
      <c r="M744" s="47">
        <v>1</v>
      </c>
      <c r="N744" s="47"/>
      <c r="O744" s="49"/>
      <c r="P744" s="51"/>
    </row>
    <row r="745" spans="1:16" ht="15.75" thickBot="1">
      <c r="A745" s="50"/>
      <c r="B745" s="50"/>
      <c r="C745" s="52"/>
      <c r="D745" s="50"/>
      <c r="E745" s="48"/>
      <c r="F745" s="48"/>
      <c r="G745" s="48"/>
      <c r="H745" s="48"/>
      <c r="I745" s="38">
        <v>100</v>
      </c>
      <c r="J745" s="48"/>
      <c r="K745" s="48"/>
      <c r="L745" s="48"/>
      <c r="M745" s="48"/>
      <c r="N745" s="48"/>
      <c r="O745" s="50"/>
      <c r="P745" s="52"/>
    </row>
    <row r="746" spans="1:16" ht="15" customHeight="1">
      <c r="A746" s="49" t="s">
        <v>2290</v>
      </c>
      <c r="B746" s="49" t="s">
        <v>1106</v>
      </c>
      <c r="C746" s="51" t="s">
        <v>2291</v>
      </c>
      <c r="D746" s="49" t="s">
        <v>1229</v>
      </c>
      <c r="E746" s="47" t="s">
        <v>2247</v>
      </c>
      <c r="F746" s="47" t="s">
        <v>1231</v>
      </c>
      <c r="G746" s="47" t="s">
        <v>2292</v>
      </c>
      <c r="H746" s="47" t="s">
        <v>2567</v>
      </c>
      <c r="I746" s="39">
        <v>19</v>
      </c>
      <c r="J746" s="47">
        <v>8</v>
      </c>
      <c r="K746" s="47" t="s">
        <v>2189</v>
      </c>
      <c r="L746" s="47" t="s">
        <v>2130</v>
      </c>
      <c r="M746" s="47">
        <v>1</v>
      </c>
      <c r="N746" s="47"/>
      <c r="O746" s="49"/>
      <c r="P746" s="51"/>
    </row>
    <row r="747" spans="1:16" ht="15.75" thickBot="1">
      <c r="A747" s="50"/>
      <c r="B747" s="50"/>
      <c r="C747" s="52"/>
      <c r="D747" s="50"/>
      <c r="E747" s="48"/>
      <c r="F747" s="48"/>
      <c r="G747" s="48"/>
      <c r="H747" s="48"/>
      <c r="I747" s="38">
        <v>5</v>
      </c>
      <c r="J747" s="48"/>
      <c r="K747" s="48"/>
      <c r="L747" s="48"/>
      <c r="M747" s="48"/>
      <c r="N747" s="48"/>
      <c r="O747" s="50"/>
      <c r="P747" s="52"/>
    </row>
    <row r="748" spans="1:16" ht="26.25" thickBot="1">
      <c r="A748" s="6" t="s">
        <v>2293</v>
      </c>
      <c r="B748" s="10" t="s">
        <v>2294</v>
      </c>
      <c r="C748" s="11" t="s">
        <v>2295</v>
      </c>
      <c r="D748" s="10" t="s">
        <v>2227</v>
      </c>
      <c r="E748" s="38">
        <v>35</v>
      </c>
      <c r="F748" s="38" t="s">
        <v>3884</v>
      </c>
      <c r="G748" s="38"/>
      <c r="H748" s="38" t="s">
        <v>1282</v>
      </c>
      <c r="I748" s="38" t="s">
        <v>2124</v>
      </c>
      <c r="J748" s="38"/>
      <c r="K748" s="38"/>
      <c r="L748" s="38" t="s">
        <v>2136</v>
      </c>
      <c r="M748" s="38">
        <v>1</v>
      </c>
      <c r="N748" s="38"/>
      <c r="O748" s="10"/>
      <c r="P748" s="25" t="str">
        <f>HYPERLINK("http://biade.itrust.de/biade/lpext.dll?f=id&amp;id=biadb%3Ar%3A001270&amp;t=main-h.htm","1270")</f>
        <v>1270</v>
      </c>
    </row>
    <row r="749" spans="1:16" ht="15.75" thickBot="1">
      <c r="A749" s="6" t="s">
        <v>2296</v>
      </c>
      <c r="B749" s="10" t="s">
        <v>2297</v>
      </c>
      <c r="C749" s="11" t="s">
        <v>2298</v>
      </c>
      <c r="D749" s="10" t="s">
        <v>3961</v>
      </c>
      <c r="E749" s="38" t="s">
        <v>2299</v>
      </c>
      <c r="F749" s="38" t="s">
        <v>2300</v>
      </c>
      <c r="G749" s="38"/>
      <c r="H749" s="38" t="s">
        <v>2687</v>
      </c>
      <c r="I749" s="38" t="s">
        <v>2124</v>
      </c>
      <c r="J749" s="38"/>
      <c r="K749" s="38"/>
      <c r="L749" s="38" t="s">
        <v>2125</v>
      </c>
      <c r="M749" s="38">
        <v>2</v>
      </c>
      <c r="N749" s="38"/>
      <c r="O749" s="10"/>
      <c r="P749" s="25" t="str">
        <f>HYPERLINK("http://biade.itrust.de/biade/lpext.dll?f=id&amp;id=biadb%3Ar%3A001760&amp;t=main-h.htm","1760")</f>
        <v>1760</v>
      </c>
    </row>
    <row r="750" spans="1:16" ht="15.75" thickBot="1">
      <c r="A750" s="6" t="s">
        <v>2301</v>
      </c>
      <c r="B750" s="10" t="s">
        <v>2121</v>
      </c>
      <c r="C750" s="11"/>
      <c r="D750" s="10"/>
      <c r="E750" s="38" t="s">
        <v>2302</v>
      </c>
      <c r="F750" s="38">
        <v>61</v>
      </c>
      <c r="G750" s="38"/>
      <c r="H750" s="38" t="s">
        <v>2123</v>
      </c>
      <c r="I750" s="38" t="s">
        <v>2124</v>
      </c>
      <c r="J750" s="38"/>
      <c r="K750" s="38"/>
      <c r="L750" s="38" t="s">
        <v>2130</v>
      </c>
      <c r="M750" s="38">
        <v>1</v>
      </c>
      <c r="N750" s="38"/>
      <c r="O750" s="10"/>
      <c r="P750" s="11"/>
    </row>
    <row r="751" spans="1:16" ht="15">
      <c r="A751" s="49" t="s">
        <v>2303</v>
      </c>
      <c r="B751" s="49"/>
      <c r="C751" s="51" t="s">
        <v>2304</v>
      </c>
      <c r="D751" s="49" t="s">
        <v>2305</v>
      </c>
      <c r="E751" s="47" t="s">
        <v>2306</v>
      </c>
      <c r="F751" s="47" t="s">
        <v>2307</v>
      </c>
      <c r="G751" s="47"/>
      <c r="H751" s="47" t="s">
        <v>2901</v>
      </c>
      <c r="I751" s="39">
        <v>1.6</v>
      </c>
      <c r="J751" s="47">
        <v>2</v>
      </c>
      <c r="K751" s="47" t="s">
        <v>2187</v>
      </c>
      <c r="L751" s="47" t="s">
        <v>2210</v>
      </c>
      <c r="M751" s="47">
        <v>1</v>
      </c>
      <c r="N751" s="47"/>
      <c r="O751" s="49"/>
      <c r="P751" s="51"/>
    </row>
    <row r="752" spans="1:16" ht="15.75" thickBot="1">
      <c r="A752" s="50"/>
      <c r="B752" s="50"/>
      <c r="C752" s="52"/>
      <c r="D752" s="50"/>
      <c r="E752" s="48"/>
      <c r="F752" s="48"/>
      <c r="G752" s="48"/>
      <c r="H752" s="48"/>
      <c r="I752" s="38">
        <v>1</v>
      </c>
      <c r="J752" s="48"/>
      <c r="K752" s="48"/>
      <c r="L752" s="48"/>
      <c r="M752" s="48"/>
      <c r="N752" s="48"/>
      <c r="O752" s="50"/>
      <c r="P752" s="52"/>
    </row>
    <row r="753" spans="1:16" ht="15.75" thickBot="1">
      <c r="A753" s="6" t="s">
        <v>2308</v>
      </c>
      <c r="B753" s="10" t="s">
        <v>1105</v>
      </c>
      <c r="C753" s="11" t="s">
        <v>2309</v>
      </c>
      <c r="D753" s="10"/>
      <c r="E753" s="38"/>
      <c r="F753" s="38"/>
      <c r="G753" s="38"/>
      <c r="H753" s="38" t="s">
        <v>2123</v>
      </c>
      <c r="I753" s="38" t="s">
        <v>2124</v>
      </c>
      <c r="J753" s="38"/>
      <c r="K753" s="38"/>
      <c r="L753" s="38" t="s">
        <v>2165</v>
      </c>
      <c r="M753" s="38">
        <v>1</v>
      </c>
      <c r="N753" s="38"/>
      <c r="O753" s="10"/>
      <c r="P753" s="25" t="str">
        <f>HYPERLINK("http://biade.itrust.de/biade/lpext.dll?f=id&amp;id=biadb%3Ar%3A112303&amp;t=main-h.htm","112303")</f>
        <v>112303</v>
      </c>
    </row>
    <row r="754" spans="1:16" ht="15.75" thickBot="1">
      <c r="A754" s="6" t="s">
        <v>2310</v>
      </c>
      <c r="B754" s="10" t="s">
        <v>2311</v>
      </c>
      <c r="C754" s="11" t="s">
        <v>2312</v>
      </c>
      <c r="D754" s="10"/>
      <c r="E754" s="38"/>
      <c r="F754" s="38"/>
      <c r="G754" s="38"/>
      <c r="H754" s="38" t="s">
        <v>2123</v>
      </c>
      <c r="I754" s="38" t="s">
        <v>2124</v>
      </c>
      <c r="J754" s="38"/>
      <c r="K754" s="38"/>
      <c r="L754" s="38" t="s">
        <v>2165</v>
      </c>
      <c r="M754" s="38">
        <v>1</v>
      </c>
      <c r="N754" s="38"/>
      <c r="O754" s="10"/>
      <c r="P754" s="11"/>
    </row>
    <row r="755" spans="1:16" ht="15.75" thickBot="1">
      <c r="A755" s="6" t="s">
        <v>2313</v>
      </c>
      <c r="B755" s="10" t="s">
        <v>2314</v>
      </c>
      <c r="C755" s="11" t="s">
        <v>2315</v>
      </c>
      <c r="D755" s="10" t="s">
        <v>828</v>
      </c>
      <c r="E755" s="38" t="s">
        <v>2316</v>
      </c>
      <c r="F755" s="38" t="s">
        <v>2317</v>
      </c>
      <c r="G755" s="38"/>
      <c r="H755" s="38" t="s">
        <v>2901</v>
      </c>
      <c r="I755" s="38" t="s">
        <v>2124</v>
      </c>
      <c r="J755" s="38"/>
      <c r="K755" s="38" t="s">
        <v>2189</v>
      </c>
      <c r="L755" s="38" t="s">
        <v>2211</v>
      </c>
      <c r="M755" s="38">
        <v>3</v>
      </c>
      <c r="N755" s="38" t="s">
        <v>1226</v>
      </c>
      <c r="O755" s="10"/>
      <c r="P755" s="25" t="str">
        <f>HYPERLINK("http://biade.itrust.de/biade/lpext.dll?f=id&amp;id=biadb%3Ar%3A041400&amp;t=main-h.htm","41400")</f>
        <v>41400</v>
      </c>
    </row>
    <row r="756" spans="1:16" ht="15">
      <c r="A756" s="49" t="s">
        <v>2318</v>
      </c>
      <c r="B756" s="49" t="s">
        <v>2319</v>
      </c>
      <c r="C756" s="51" t="s">
        <v>2320</v>
      </c>
      <c r="D756" s="49" t="s">
        <v>2305</v>
      </c>
      <c r="E756" s="47" t="s">
        <v>2321</v>
      </c>
      <c r="F756" s="47" t="s">
        <v>2462</v>
      </c>
      <c r="G756" s="47" t="s">
        <v>2183</v>
      </c>
      <c r="H756" s="47" t="s">
        <v>2901</v>
      </c>
      <c r="I756" s="39">
        <v>0.83</v>
      </c>
      <c r="J756" s="47">
        <v>2</v>
      </c>
      <c r="K756" s="47" t="s">
        <v>2187</v>
      </c>
      <c r="L756" s="47" t="s">
        <v>2211</v>
      </c>
      <c r="M756" s="47">
        <v>2</v>
      </c>
      <c r="N756" s="47"/>
      <c r="O756" s="49"/>
      <c r="P756" s="51"/>
    </row>
    <row r="757" spans="1:16" ht="15.75" thickBot="1">
      <c r="A757" s="50"/>
      <c r="B757" s="50"/>
      <c r="C757" s="52"/>
      <c r="D757" s="50"/>
      <c r="E757" s="48"/>
      <c r="F757" s="48"/>
      <c r="G757" s="48"/>
      <c r="H757" s="48"/>
      <c r="I757" s="38">
        <v>1</v>
      </c>
      <c r="J757" s="48"/>
      <c r="K757" s="48"/>
      <c r="L757" s="48"/>
      <c r="M757" s="48"/>
      <c r="N757" s="48"/>
      <c r="O757" s="50"/>
      <c r="P757" s="52"/>
    </row>
    <row r="758" spans="1:16" ht="15">
      <c r="A758" s="49" t="s">
        <v>2322</v>
      </c>
      <c r="B758" s="49" t="s">
        <v>2323</v>
      </c>
      <c r="C758" s="51" t="s">
        <v>2320</v>
      </c>
      <c r="D758" s="49" t="s">
        <v>2305</v>
      </c>
      <c r="E758" s="47" t="s">
        <v>2321</v>
      </c>
      <c r="F758" s="47" t="s">
        <v>2324</v>
      </c>
      <c r="G758" s="47" t="s">
        <v>2183</v>
      </c>
      <c r="H758" s="47" t="s">
        <v>2901</v>
      </c>
      <c r="I758" s="39">
        <v>0.83</v>
      </c>
      <c r="J758" s="47">
        <v>2</v>
      </c>
      <c r="K758" s="47" t="s">
        <v>2189</v>
      </c>
      <c r="L758" s="47" t="s">
        <v>2211</v>
      </c>
      <c r="M758" s="47">
        <v>2</v>
      </c>
      <c r="N758" s="47" t="s">
        <v>2325</v>
      </c>
      <c r="O758" s="49"/>
      <c r="P758" s="51"/>
    </row>
    <row r="759" spans="1:16" ht="15.75" thickBot="1">
      <c r="A759" s="50"/>
      <c r="B759" s="50"/>
      <c r="C759" s="52"/>
      <c r="D759" s="50"/>
      <c r="E759" s="48"/>
      <c r="F759" s="48"/>
      <c r="G759" s="48"/>
      <c r="H759" s="48"/>
      <c r="I759" s="38">
        <v>1</v>
      </c>
      <c r="J759" s="48"/>
      <c r="K759" s="48"/>
      <c r="L759" s="48"/>
      <c r="M759" s="48"/>
      <c r="N759" s="48"/>
      <c r="O759" s="50"/>
      <c r="P759" s="52"/>
    </row>
    <row r="760" spans="1:16" ht="15.75" thickBot="1">
      <c r="A760" s="6" t="s">
        <v>2326</v>
      </c>
      <c r="B760" s="10" t="s">
        <v>2327</v>
      </c>
      <c r="C760" s="11" t="s">
        <v>2328</v>
      </c>
      <c r="D760" s="10" t="s">
        <v>1229</v>
      </c>
      <c r="E760" s="38" t="s">
        <v>2329</v>
      </c>
      <c r="F760" s="38" t="s">
        <v>2330</v>
      </c>
      <c r="G760" s="38" t="s">
        <v>1984</v>
      </c>
      <c r="H760" s="38" t="s">
        <v>1282</v>
      </c>
      <c r="I760" s="38" t="s">
        <v>2124</v>
      </c>
      <c r="J760" s="38"/>
      <c r="K760" s="38" t="s">
        <v>2189</v>
      </c>
      <c r="L760" s="38" t="s">
        <v>2130</v>
      </c>
      <c r="M760" s="38">
        <v>2</v>
      </c>
      <c r="N760" s="38" t="s">
        <v>178</v>
      </c>
      <c r="O760" s="10"/>
      <c r="P760" s="25" t="str">
        <f>HYPERLINK("http://biade.itrust.de/biade/lpext.dll?f=id&amp;id=biadb%3Ar%3A010520&amp;t=main-h.htm","10520")</f>
        <v>10520</v>
      </c>
    </row>
    <row r="761" spans="1:16" ht="16.5" thickBot="1">
      <c r="A761" s="6" t="s">
        <v>2331</v>
      </c>
      <c r="B761" s="10" t="s">
        <v>2332</v>
      </c>
      <c r="C761" s="11" t="s">
        <v>2333</v>
      </c>
      <c r="D761" s="10" t="s">
        <v>1229</v>
      </c>
      <c r="E761" s="38">
        <v>61</v>
      </c>
      <c r="F761" s="38" t="s">
        <v>1231</v>
      </c>
      <c r="G761" s="38" t="s">
        <v>2334</v>
      </c>
      <c r="H761" s="38" t="s">
        <v>2567</v>
      </c>
      <c r="I761" s="38" t="s">
        <v>2124</v>
      </c>
      <c r="J761" s="38"/>
      <c r="K761" s="38" t="s">
        <v>2189</v>
      </c>
      <c r="L761" s="38" t="s">
        <v>2130</v>
      </c>
      <c r="M761" s="38">
        <v>1</v>
      </c>
      <c r="N761" s="38"/>
      <c r="O761" s="10"/>
      <c r="P761" s="25" t="str">
        <f>HYPERLINK("http://biade.itrust.de/biade/lpext.dll?f=id&amp;id=biadb%3Ar%3A017710&amp;t=main-h.htm","17710")</f>
        <v>17710</v>
      </c>
    </row>
    <row r="762" spans="1:16" ht="15.75" thickBot="1">
      <c r="A762" s="6" t="s">
        <v>2335</v>
      </c>
      <c r="B762" s="10" t="s">
        <v>2121</v>
      </c>
      <c r="C762" s="11" t="s">
        <v>2336</v>
      </c>
      <c r="D762" s="10"/>
      <c r="E762" s="38"/>
      <c r="F762" s="38"/>
      <c r="G762" s="38"/>
      <c r="H762" s="38" t="s">
        <v>2123</v>
      </c>
      <c r="I762" s="38" t="s">
        <v>2124</v>
      </c>
      <c r="J762" s="38"/>
      <c r="K762" s="38"/>
      <c r="L762" s="38" t="s">
        <v>2125</v>
      </c>
      <c r="M762" s="38" t="s">
        <v>2221</v>
      </c>
      <c r="N762" s="38"/>
      <c r="O762" s="10"/>
      <c r="P762" s="25" t="str">
        <f>HYPERLINK("http://biade.itrust.de/biade/lpext.dll?f=id&amp;id=biadb%3Ar%3A036320&amp;t=main-h.htm","36320")</f>
        <v>36320</v>
      </c>
    </row>
    <row r="763" spans="1:16" ht="15">
      <c r="A763" s="49" t="s">
        <v>2337</v>
      </c>
      <c r="B763" s="7" t="s">
        <v>2338</v>
      </c>
      <c r="C763" s="51" t="s">
        <v>2339</v>
      </c>
      <c r="D763" s="49" t="s">
        <v>2128</v>
      </c>
      <c r="E763" s="47">
        <v>40</v>
      </c>
      <c r="F763" s="47" t="s">
        <v>3219</v>
      </c>
      <c r="G763" s="47"/>
      <c r="H763" s="47" t="s">
        <v>1282</v>
      </c>
      <c r="I763" s="47" t="s">
        <v>2124</v>
      </c>
      <c r="J763" s="47"/>
      <c r="K763" s="47"/>
      <c r="L763" s="47" t="s">
        <v>2165</v>
      </c>
      <c r="M763" s="47">
        <v>3</v>
      </c>
      <c r="N763" s="47"/>
      <c r="O763" s="49"/>
      <c r="P763" s="51"/>
    </row>
    <row r="764" spans="1:16" ht="15.75" thickBot="1">
      <c r="A764" s="50"/>
      <c r="B764" s="10" t="s">
        <v>1278</v>
      </c>
      <c r="C764" s="52"/>
      <c r="D764" s="50"/>
      <c r="E764" s="48"/>
      <c r="F764" s="48"/>
      <c r="G764" s="48"/>
      <c r="H764" s="48"/>
      <c r="I764" s="48"/>
      <c r="J764" s="48"/>
      <c r="K764" s="48"/>
      <c r="L764" s="48"/>
      <c r="M764" s="48"/>
      <c r="N764" s="48"/>
      <c r="O764" s="50"/>
      <c r="P764" s="52"/>
    </row>
    <row r="765" spans="1:16" ht="15.75" thickBot="1">
      <c r="A765" s="6" t="s">
        <v>2340</v>
      </c>
      <c r="B765" s="18" t="s">
        <v>1104</v>
      </c>
      <c r="C765" s="11" t="s">
        <v>2341</v>
      </c>
      <c r="D765" s="10" t="s">
        <v>2134</v>
      </c>
      <c r="E765" s="38">
        <v>36</v>
      </c>
      <c r="F765" s="38">
        <v>26</v>
      </c>
      <c r="G765" s="38"/>
      <c r="H765" s="38" t="s">
        <v>2687</v>
      </c>
      <c r="I765" s="38" t="s">
        <v>2124</v>
      </c>
      <c r="J765" s="38"/>
      <c r="K765" s="38"/>
      <c r="L765" s="38" t="s">
        <v>2165</v>
      </c>
      <c r="M765" s="38">
        <v>1</v>
      </c>
      <c r="N765" s="38" t="s">
        <v>1252</v>
      </c>
      <c r="O765" s="10"/>
      <c r="P765" s="25" t="str">
        <f>HYPERLINK("http://biade.itrust.de/biade/lpext.dll?f=id&amp;id=biadb%3Ar%3A033440&amp;t=main-h.htm","33440")</f>
        <v>33440</v>
      </c>
    </row>
    <row r="766" spans="1:16" ht="15.75" thickBot="1">
      <c r="A766" s="6" t="s">
        <v>2342</v>
      </c>
      <c r="B766" s="10"/>
      <c r="C766" s="11" t="s">
        <v>2343</v>
      </c>
      <c r="D766" s="10" t="s">
        <v>2470</v>
      </c>
      <c r="E766" s="38" t="s">
        <v>2344</v>
      </c>
      <c r="F766" s="38" t="s">
        <v>2615</v>
      </c>
      <c r="G766" s="38" t="s">
        <v>4155</v>
      </c>
      <c r="H766" s="38" t="s">
        <v>1232</v>
      </c>
      <c r="I766" s="38" t="s">
        <v>2124</v>
      </c>
      <c r="J766" s="38"/>
      <c r="K766" s="38" t="s">
        <v>2187</v>
      </c>
      <c r="L766" s="38" t="s">
        <v>2130</v>
      </c>
      <c r="M766" s="38">
        <v>3</v>
      </c>
      <c r="N766" s="38"/>
      <c r="O766" s="10"/>
      <c r="P766" s="25" t="str">
        <f>HYPERLINK("http://biade.itrust.de/biade/lpext.dll?f=id&amp;id=biadb%3Ar%3A030810&amp;t=main-h.htm","30810")</f>
        <v>30810</v>
      </c>
    </row>
    <row r="767" spans="1:16" ht="15.75" thickBot="1">
      <c r="A767" s="6" t="s">
        <v>2345</v>
      </c>
      <c r="B767" s="10" t="s">
        <v>2346</v>
      </c>
      <c r="C767" s="11" t="s">
        <v>2347</v>
      </c>
      <c r="D767" s="10" t="s">
        <v>1229</v>
      </c>
      <c r="E767" s="38" t="s">
        <v>2348</v>
      </c>
      <c r="F767" s="38" t="s">
        <v>2349</v>
      </c>
      <c r="G767" s="38" t="s">
        <v>4074</v>
      </c>
      <c r="H767" s="38" t="s">
        <v>1282</v>
      </c>
      <c r="I767" s="38" t="s">
        <v>2124</v>
      </c>
      <c r="J767" s="38"/>
      <c r="K767" s="38" t="s">
        <v>2189</v>
      </c>
      <c r="L767" s="38" t="s">
        <v>2130</v>
      </c>
      <c r="M767" s="38">
        <v>2</v>
      </c>
      <c r="N767" s="38" t="s">
        <v>1980</v>
      </c>
      <c r="O767" s="10"/>
      <c r="P767" s="25" t="str">
        <f>HYPERLINK("http://biade.itrust.de/biade/lpext.dll?f=id&amp;id=biadb%3Ar%3A025010&amp;t=main-h.htm","25010")</f>
        <v>25010</v>
      </c>
    </row>
    <row r="768" spans="1:16" ht="15.75" thickBot="1">
      <c r="A768" s="6" t="s">
        <v>2350</v>
      </c>
      <c r="B768" s="10" t="s">
        <v>2121</v>
      </c>
      <c r="C768" s="11" t="s">
        <v>2351</v>
      </c>
      <c r="D768" s="10"/>
      <c r="E768" s="38"/>
      <c r="F768" s="38"/>
      <c r="G768" s="38"/>
      <c r="H768" s="38" t="s">
        <v>2123</v>
      </c>
      <c r="I768" s="38" t="s">
        <v>2124</v>
      </c>
      <c r="J768" s="38"/>
      <c r="K768" s="38"/>
      <c r="L768" s="38" t="s">
        <v>2125</v>
      </c>
      <c r="M768" s="38" t="s">
        <v>2221</v>
      </c>
      <c r="N768" s="38"/>
      <c r="O768" s="10"/>
      <c r="P768" s="11"/>
    </row>
    <row r="769" spans="1:16" ht="22.5" customHeight="1">
      <c r="A769" s="5" t="s">
        <v>2352</v>
      </c>
      <c r="B769" s="49" t="s">
        <v>1103</v>
      </c>
      <c r="C769" s="51" t="s">
        <v>2353</v>
      </c>
      <c r="D769" s="49" t="s">
        <v>2134</v>
      </c>
      <c r="E769" s="47" t="s">
        <v>2162</v>
      </c>
      <c r="F769" s="47" t="s">
        <v>4026</v>
      </c>
      <c r="G769" s="47"/>
      <c r="H769" s="47" t="s">
        <v>2687</v>
      </c>
      <c r="I769" s="47" t="s">
        <v>2124</v>
      </c>
      <c r="J769" s="47"/>
      <c r="K769" s="47"/>
      <c r="L769" s="47" t="s">
        <v>2165</v>
      </c>
      <c r="M769" s="47"/>
      <c r="N769" s="47"/>
      <c r="O769" s="49"/>
      <c r="P769" s="51"/>
    </row>
    <row r="770" spans="1:16" ht="15.75" thickBot="1">
      <c r="A770" s="6" t="s">
        <v>1617</v>
      </c>
      <c r="B770" s="50"/>
      <c r="C770" s="52"/>
      <c r="D770" s="50"/>
      <c r="E770" s="48"/>
      <c r="F770" s="48"/>
      <c r="G770" s="48"/>
      <c r="H770" s="48"/>
      <c r="I770" s="48"/>
      <c r="J770" s="48"/>
      <c r="K770" s="48"/>
      <c r="L770" s="48"/>
      <c r="M770" s="48"/>
      <c r="N770" s="48"/>
      <c r="O770" s="50"/>
      <c r="P770" s="52"/>
    </row>
    <row r="771" spans="1:16" ht="15.75" thickBot="1">
      <c r="A771" s="6" t="s">
        <v>2354</v>
      </c>
      <c r="B771" s="10" t="s">
        <v>2121</v>
      </c>
      <c r="C771" s="11" t="s">
        <v>2355</v>
      </c>
      <c r="D771" s="10"/>
      <c r="E771" s="38"/>
      <c r="F771" s="38"/>
      <c r="G771" s="38"/>
      <c r="H771" s="38" t="s">
        <v>2123</v>
      </c>
      <c r="I771" s="38" t="s">
        <v>2124</v>
      </c>
      <c r="J771" s="38"/>
      <c r="K771" s="38"/>
      <c r="L771" s="38" t="s">
        <v>2125</v>
      </c>
      <c r="M771" s="38" t="s">
        <v>2221</v>
      </c>
      <c r="N771" s="38"/>
      <c r="O771" s="10"/>
      <c r="P771" s="11"/>
    </row>
    <row r="772" spans="1:16" ht="15">
      <c r="A772" s="49" t="s">
        <v>2356</v>
      </c>
      <c r="B772" s="7" t="s">
        <v>2357</v>
      </c>
      <c r="C772" s="51" t="s">
        <v>2359</v>
      </c>
      <c r="D772" s="49" t="s">
        <v>3961</v>
      </c>
      <c r="E772" s="47" t="s">
        <v>2360</v>
      </c>
      <c r="F772" s="47" t="s">
        <v>2361</v>
      </c>
      <c r="G772" s="47" t="s">
        <v>2362</v>
      </c>
      <c r="H772" s="47" t="s">
        <v>3220</v>
      </c>
      <c r="I772" s="47" t="s">
        <v>2124</v>
      </c>
      <c r="J772" s="47"/>
      <c r="K772" s="47"/>
      <c r="L772" s="47" t="s">
        <v>2165</v>
      </c>
      <c r="M772" s="47">
        <v>3</v>
      </c>
      <c r="N772" s="47"/>
      <c r="O772" s="49"/>
      <c r="P772" s="51"/>
    </row>
    <row r="773" spans="1:16" ht="15.75" thickBot="1">
      <c r="A773" s="50"/>
      <c r="B773" s="10" t="s">
        <v>2358</v>
      </c>
      <c r="C773" s="52"/>
      <c r="D773" s="50"/>
      <c r="E773" s="48"/>
      <c r="F773" s="48"/>
      <c r="G773" s="48"/>
      <c r="H773" s="48"/>
      <c r="I773" s="48"/>
      <c r="J773" s="48"/>
      <c r="K773" s="48"/>
      <c r="L773" s="48"/>
      <c r="M773" s="48"/>
      <c r="N773" s="48"/>
      <c r="O773" s="50"/>
      <c r="P773" s="52"/>
    </row>
    <row r="774" spans="1:16" ht="15.75" thickBot="1">
      <c r="A774" s="6" t="s">
        <v>2363</v>
      </c>
      <c r="B774" s="10" t="s">
        <v>2364</v>
      </c>
      <c r="C774" s="11" t="s">
        <v>2365</v>
      </c>
      <c r="D774" s="10"/>
      <c r="E774" s="38"/>
      <c r="F774" s="38"/>
      <c r="G774" s="38"/>
      <c r="H774" s="38" t="s">
        <v>2123</v>
      </c>
      <c r="I774" s="38" t="s">
        <v>2124</v>
      </c>
      <c r="J774" s="38"/>
      <c r="K774" s="38"/>
      <c r="L774" s="38" t="s">
        <v>2125</v>
      </c>
      <c r="M774" s="38">
        <v>1</v>
      </c>
      <c r="N774" s="38"/>
      <c r="O774" s="10"/>
      <c r="P774" s="25" t="str">
        <f>HYPERLINK("http://biade.itrust.de/biade/lpext.dll?f=id&amp;id=biadb%3Ar%3A109768&amp;t=main-h.htm","109768")</f>
        <v>109768</v>
      </c>
    </row>
    <row r="775" spans="1:16" ht="15">
      <c r="A775" s="5" t="s">
        <v>2366</v>
      </c>
      <c r="B775" s="49" t="s">
        <v>2121</v>
      </c>
      <c r="C775" s="51" t="s">
        <v>2367</v>
      </c>
      <c r="D775" s="49" t="s">
        <v>3859</v>
      </c>
      <c r="E775" s="47">
        <v>11</v>
      </c>
      <c r="F775" s="47" t="s">
        <v>1955</v>
      </c>
      <c r="G775" s="47"/>
      <c r="H775" s="47" t="s">
        <v>2164</v>
      </c>
      <c r="I775" s="47" t="s">
        <v>2124</v>
      </c>
      <c r="J775" s="47"/>
      <c r="K775" s="47"/>
      <c r="L775" s="47" t="s">
        <v>2198</v>
      </c>
      <c r="M775" s="47" t="s">
        <v>2221</v>
      </c>
      <c r="N775" s="47"/>
      <c r="O775" s="49"/>
      <c r="P775" s="51"/>
    </row>
    <row r="776" spans="1:16" ht="15.75" thickBot="1">
      <c r="A776" s="6" t="s">
        <v>2865</v>
      </c>
      <c r="B776" s="50"/>
      <c r="C776" s="52"/>
      <c r="D776" s="50"/>
      <c r="E776" s="48"/>
      <c r="F776" s="48"/>
      <c r="G776" s="48"/>
      <c r="H776" s="48"/>
      <c r="I776" s="48"/>
      <c r="J776" s="48"/>
      <c r="K776" s="48"/>
      <c r="L776" s="48"/>
      <c r="M776" s="48"/>
      <c r="N776" s="48"/>
      <c r="O776" s="50"/>
      <c r="P776" s="52"/>
    </row>
    <row r="777" spans="1:16" ht="15.75" thickBot="1">
      <c r="A777" s="6" t="s">
        <v>2368</v>
      </c>
      <c r="B777" s="10" t="s">
        <v>2132</v>
      </c>
      <c r="C777" s="11" t="s">
        <v>2369</v>
      </c>
      <c r="D777" s="10" t="s">
        <v>2370</v>
      </c>
      <c r="E777" s="38" t="s">
        <v>2371</v>
      </c>
      <c r="F777" s="38" t="s">
        <v>2372</v>
      </c>
      <c r="G777" s="38"/>
      <c r="H777" s="38" t="s">
        <v>2164</v>
      </c>
      <c r="I777" s="38" t="s">
        <v>2124</v>
      </c>
      <c r="J777" s="38"/>
      <c r="K777" s="38"/>
      <c r="L777" s="38" t="s">
        <v>2165</v>
      </c>
      <c r="M777" s="38">
        <v>1</v>
      </c>
      <c r="N777" s="38"/>
      <c r="O777" s="10"/>
      <c r="P777" s="11"/>
    </row>
    <row r="778" spans="1:16" ht="15.75" thickBot="1">
      <c r="A778" s="6" t="s">
        <v>2373</v>
      </c>
      <c r="B778" s="10" t="s">
        <v>2374</v>
      </c>
      <c r="C778" s="11" t="s">
        <v>2375</v>
      </c>
      <c r="D778" s="10"/>
      <c r="E778" s="38"/>
      <c r="F778" s="38"/>
      <c r="G778" s="38"/>
      <c r="H778" s="38" t="s">
        <v>2123</v>
      </c>
      <c r="I778" s="38" t="s">
        <v>2124</v>
      </c>
      <c r="J778" s="38"/>
      <c r="K778" s="38"/>
      <c r="L778" s="38" t="s">
        <v>2125</v>
      </c>
      <c r="M778" s="38" t="s">
        <v>2221</v>
      </c>
      <c r="N778" s="38"/>
      <c r="O778" s="10"/>
      <c r="P778" s="11"/>
    </row>
    <row r="779" spans="1:16" ht="15">
      <c r="A779" s="5" t="s">
        <v>2376</v>
      </c>
      <c r="B779" s="49" t="s">
        <v>2377</v>
      </c>
      <c r="C779" s="51" t="s">
        <v>2378</v>
      </c>
      <c r="D779" s="49"/>
      <c r="E779" s="47"/>
      <c r="F779" s="47"/>
      <c r="G779" s="47"/>
      <c r="H779" s="47" t="s">
        <v>2123</v>
      </c>
      <c r="I779" s="47" t="s">
        <v>2124</v>
      </c>
      <c r="J779" s="47"/>
      <c r="K779" s="47"/>
      <c r="L779" s="47" t="s">
        <v>2125</v>
      </c>
      <c r="M779" s="47">
        <v>1</v>
      </c>
      <c r="N779" s="47"/>
      <c r="O779" s="49"/>
      <c r="P779" s="51"/>
    </row>
    <row r="780" spans="1:16" ht="15.75" thickBot="1">
      <c r="A780" s="6" t="s">
        <v>4089</v>
      </c>
      <c r="B780" s="50"/>
      <c r="C780" s="52"/>
      <c r="D780" s="50"/>
      <c r="E780" s="48"/>
      <c r="F780" s="48"/>
      <c r="G780" s="48"/>
      <c r="H780" s="48"/>
      <c r="I780" s="48"/>
      <c r="J780" s="48"/>
      <c r="K780" s="48"/>
      <c r="L780" s="48"/>
      <c r="M780" s="48"/>
      <c r="N780" s="48"/>
      <c r="O780" s="50"/>
      <c r="P780" s="52"/>
    </row>
    <row r="781" spans="1:16" ht="15">
      <c r="A781" s="5" t="s">
        <v>2379</v>
      </c>
      <c r="B781" s="49" t="s">
        <v>2380</v>
      </c>
      <c r="C781" s="51" t="s">
        <v>2381</v>
      </c>
      <c r="D781" s="49"/>
      <c r="E781" s="47"/>
      <c r="F781" s="47"/>
      <c r="G781" s="47"/>
      <c r="H781" s="47" t="s">
        <v>2123</v>
      </c>
      <c r="I781" s="47" t="s">
        <v>2124</v>
      </c>
      <c r="J781" s="47"/>
      <c r="K781" s="47"/>
      <c r="L781" s="47" t="s">
        <v>2125</v>
      </c>
      <c r="M781" s="47" t="s">
        <v>2221</v>
      </c>
      <c r="N781" s="47"/>
      <c r="O781" s="49"/>
      <c r="P781" s="51"/>
    </row>
    <row r="782" spans="1:16" ht="15.75" thickBot="1">
      <c r="A782" s="6" t="s">
        <v>2160</v>
      </c>
      <c r="B782" s="50"/>
      <c r="C782" s="52"/>
      <c r="D782" s="50"/>
      <c r="E782" s="48"/>
      <c r="F782" s="48"/>
      <c r="G782" s="48"/>
      <c r="H782" s="48"/>
      <c r="I782" s="48"/>
      <c r="J782" s="48"/>
      <c r="K782" s="48"/>
      <c r="L782" s="48"/>
      <c r="M782" s="48"/>
      <c r="N782" s="48"/>
      <c r="O782" s="50"/>
      <c r="P782" s="52"/>
    </row>
    <row r="783" spans="1:16" ht="15">
      <c r="A783" s="5" t="s">
        <v>2382</v>
      </c>
      <c r="B783" s="7" t="s">
        <v>2383</v>
      </c>
      <c r="C783" s="51" t="s">
        <v>2381</v>
      </c>
      <c r="D783" s="49"/>
      <c r="E783" s="47"/>
      <c r="F783" s="47"/>
      <c r="G783" s="47"/>
      <c r="H783" s="47" t="s">
        <v>2123</v>
      </c>
      <c r="I783" s="47" t="s">
        <v>2124</v>
      </c>
      <c r="J783" s="47"/>
      <c r="K783" s="47"/>
      <c r="L783" s="47" t="s">
        <v>2125</v>
      </c>
      <c r="M783" s="47" t="s">
        <v>2221</v>
      </c>
      <c r="N783" s="47"/>
      <c r="O783" s="49"/>
      <c r="P783" s="51"/>
    </row>
    <row r="784" spans="1:16" ht="15.75" thickBot="1">
      <c r="A784" s="6" t="s">
        <v>1617</v>
      </c>
      <c r="B784" s="10" t="s">
        <v>2384</v>
      </c>
      <c r="C784" s="52"/>
      <c r="D784" s="50"/>
      <c r="E784" s="48"/>
      <c r="F784" s="48"/>
      <c r="G784" s="48"/>
      <c r="H784" s="48"/>
      <c r="I784" s="48"/>
      <c r="J784" s="48"/>
      <c r="K784" s="48"/>
      <c r="L784" s="48"/>
      <c r="M784" s="48"/>
      <c r="N784" s="48"/>
      <c r="O784" s="50"/>
      <c r="P784" s="52"/>
    </row>
    <row r="785" spans="1:16" ht="26.25" thickBot="1">
      <c r="A785" s="6" t="s">
        <v>2385</v>
      </c>
      <c r="B785" s="10" t="s">
        <v>1102</v>
      </c>
      <c r="C785" s="11" t="s">
        <v>2386</v>
      </c>
      <c r="D785" s="10"/>
      <c r="E785" s="38"/>
      <c r="F785" s="38"/>
      <c r="G785" s="38"/>
      <c r="H785" s="38" t="s">
        <v>2123</v>
      </c>
      <c r="I785" s="38" t="s">
        <v>2124</v>
      </c>
      <c r="J785" s="38"/>
      <c r="K785" s="38"/>
      <c r="L785" s="38" t="s">
        <v>2125</v>
      </c>
      <c r="M785" s="38">
        <v>1</v>
      </c>
      <c r="N785" s="38"/>
      <c r="O785" s="10"/>
      <c r="P785" s="25" t="str">
        <f>HYPERLINK("http://biade.itrust.de/biade/lpext.dll?f=id&amp;id=biadb%3Ar%3A012900&amp;t=main-h.htm","12900")</f>
        <v>12900</v>
      </c>
    </row>
    <row r="786" spans="1:16" ht="15.75" thickBot="1">
      <c r="A786" s="6" t="s">
        <v>2387</v>
      </c>
      <c r="B786" s="10" t="s">
        <v>2121</v>
      </c>
      <c r="C786" s="11" t="s">
        <v>2388</v>
      </c>
      <c r="D786" s="10" t="s">
        <v>2134</v>
      </c>
      <c r="E786" s="38">
        <v>36</v>
      </c>
      <c r="F786" s="38" t="s">
        <v>2908</v>
      </c>
      <c r="G786" s="38"/>
      <c r="H786" s="38" t="s">
        <v>2164</v>
      </c>
      <c r="I786" s="38" t="s">
        <v>2124</v>
      </c>
      <c r="J786" s="38"/>
      <c r="K786" s="38"/>
      <c r="L786" s="38" t="s">
        <v>2125</v>
      </c>
      <c r="M786" s="38">
        <v>1</v>
      </c>
      <c r="N786" s="38"/>
      <c r="O786" s="10"/>
      <c r="P786" s="25" t="str">
        <f>HYPERLINK("http://biade.itrust.de/biade/lpext.dll?f=id&amp;id=biadb%3Ar%3A033910&amp;t=main-h.htm","33910")</f>
        <v>33910</v>
      </c>
    </row>
    <row r="787" spans="1:16" ht="15.75" thickBot="1">
      <c r="A787" s="6" t="s">
        <v>2389</v>
      </c>
      <c r="B787" s="10" t="s">
        <v>2121</v>
      </c>
      <c r="C787" s="11" t="s">
        <v>2390</v>
      </c>
      <c r="D787" s="10" t="s">
        <v>2128</v>
      </c>
      <c r="E787" s="38" t="s">
        <v>2391</v>
      </c>
      <c r="F787" s="38" t="s">
        <v>3898</v>
      </c>
      <c r="G787" s="38"/>
      <c r="H787" s="38" t="s">
        <v>2164</v>
      </c>
      <c r="I787" s="38" t="s">
        <v>2124</v>
      </c>
      <c r="J787" s="38"/>
      <c r="K787" s="38"/>
      <c r="L787" s="38" t="s">
        <v>2130</v>
      </c>
      <c r="M787" s="38">
        <v>1</v>
      </c>
      <c r="N787" s="38"/>
      <c r="O787" s="10"/>
      <c r="P787" s="11"/>
    </row>
    <row r="788" spans="1:16" ht="15">
      <c r="A788" s="5" t="s">
        <v>2392</v>
      </c>
      <c r="B788" s="49" t="s">
        <v>2394</v>
      </c>
      <c r="C788" s="51" t="s">
        <v>2395</v>
      </c>
      <c r="D788" s="49"/>
      <c r="E788" s="47"/>
      <c r="F788" s="47"/>
      <c r="G788" s="47"/>
      <c r="H788" s="47" t="s">
        <v>2123</v>
      </c>
      <c r="I788" s="47" t="s">
        <v>2124</v>
      </c>
      <c r="J788" s="47"/>
      <c r="K788" s="47"/>
      <c r="L788" s="47" t="s">
        <v>2125</v>
      </c>
      <c r="M788" s="47">
        <v>1</v>
      </c>
      <c r="N788" s="47"/>
      <c r="O788" s="49"/>
      <c r="P788" s="51"/>
    </row>
    <row r="789" spans="1:16" ht="26.25" customHeight="1" thickBot="1">
      <c r="A789" s="6" t="s">
        <v>2393</v>
      </c>
      <c r="B789" s="50"/>
      <c r="C789" s="52"/>
      <c r="D789" s="50"/>
      <c r="E789" s="48"/>
      <c r="F789" s="48"/>
      <c r="G789" s="48"/>
      <c r="H789" s="48"/>
      <c r="I789" s="48"/>
      <c r="J789" s="48"/>
      <c r="K789" s="48"/>
      <c r="L789" s="48"/>
      <c r="M789" s="48"/>
      <c r="N789" s="48"/>
      <c r="O789" s="50"/>
      <c r="P789" s="52"/>
    </row>
    <row r="790" spans="1:14" ht="15.75" thickBot="1">
      <c r="A790" s="9"/>
      <c r="E790" s="45"/>
      <c r="F790" s="45"/>
      <c r="G790" s="45"/>
      <c r="H790" s="45"/>
      <c r="I790" s="45"/>
      <c r="J790" s="45"/>
      <c r="K790" s="45"/>
      <c r="L790" s="45"/>
      <c r="M790" s="45"/>
      <c r="N790" s="45"/>
    </row>
    <row r="791" spans="1:16" ht="15">
      <c r="A791" s="15" t="s">
        <v>2392</v>
      </c>
      <c r="B791" s="49" t="s">
        <v>2394</v>
      </c>
      <c r="C791" s="51" t="s">
        <v>2395</v>
      </c>
      <c r="D791" s="49"/>
      <c r="E791" s="47"/>
      <c r="F791" s="47"/>
      <c r="G791" s="47"/>
      <c r="H791" s="47" t="s">
        <v>2123</v>
      </c>
      <c r="I791" s="47" t="s">
        <v>2124</v>
      </c>
      <c r="J791" s="47"/>
      <c r="K791" s="47"/>
      <c r="L791" s="47" t="s">
        <v>2130</v>
      </c>
      <c r="M791" s="47" t="s">
        <v>1270</v>
      </c>
      <c r="N791" s="47"/>
      <c r="O791" s="49"/>
      <c r="P791" s="51"/>
    </row>
    <row r="792" spans="1:16" ht="15">
      <c r="A792" s="5" t="s">
        <v>2160</v>
      </c>
      <c r="B792" s="56"/>
      <c r="C792" s="57"/>
      <c r="D792" s="56"/>
      <c r="E792" s="55"/>
      <c r="F792" s="55"/>
      <c r="G792" s="55"/>
      <c r="H792" s="55"/>
      <c r="I792" s="55"/>
      <c r="J792" s="55"/>
      <c r="K792" s="55"/>
      <c r="L792" s="55"/>
      <c r="M792" s="55"/>
      <c r="N792" s="55"/>
      <c r="O792" s="56"/>
      <c r="P792" s="57"/>
    </row>
    <row r="793" spans="1:16" ht="15.75" thickBot="1">
      <c r="A793" s="6"/>
      <c r="B793" s="50"/>
      <c r="C793" s="52"/>
      <c r="D793" s="50"/>
      <c r="E793" s="48"/>
      <c r="F793" s="48"/>
      <c r="G793" s="48"/>
      <c r="H793" s="48"/>
      <c r="I793" s="48"/>
      <c r="J793" s="48"/>
      <c r="K793" s="48"/>
      <c r="L793" s="48"/>
      <c r="M793" s="48"/>
      <c r="N793" s="48"/>
      <c r="O793" s="50"/>
      <c r="P793" s="52"/>
    </row>
    <row r="794" spans="1:16" ht="15.75" thickBot="1">
      <c r="A794" s="6" t="s">
        <v>2396</v>
      </c>
      <c r="B794" s="10" t="s">
        <v>2397</v>
      </c>
      <c r="C794" s="11" t="s">
        <v>2398</v>
      </c>
      <c r="D794" s="10" t="s">
        <v>2168</v>
      </c>
      <c r="E794" s="38" t="s">
        <v>2399</v>
      </c>
      <c r="F794" s="38" t="s">
        <v>2400</v>
      </c>
      <c r="G794" s="38"/>
      <c r="H794" s="38" t="s">
        <v>2156</v>
      </c>
      <c r="I794" s="38" t="s">
        <v>2124</v>
      </c>
      <c r="J794" s="38"/>
      <c r="K794" s="38" t="s">
        <v>2187</v>
      </c>
      <c r="L794" s="38" t="s">
        <v>2200</v>
      </c>
      <c r="M794" s="38"/>
      <c r="N794" s="38"/>
      <c r="O794" s="10"/>
      <c r="P794" s="25" t="str">
        <f>HYPERLINK("http://biade.itrust.de/biade/lpext.dll?f=id&amp;id=biadb%3Ar%3A041320&amp;t=main-h.htm","41320")</f>
        <v>41320</v>
      </c>
    </row>
    <row r="795" spans="1:16" ht="15.75" thickBot="1">
      <c r="A795" s="6" t="s">
        <v>2401</v>
      </c>
      <c r="B795" s="10" t="s">
        <v>0</v>
      </c>
      <c r="C795" s="11" t="s">
        <v>1</v>
      </c>
      <c r="D795" s="10"/>
      <c r="E795" s="38"/>
      <c r="F795" s="38"/>
      <c r="G795" s="38"/>
      <c r="H795" s="38" t="s">
        <v>2123</v>
      </c>
      <c r="I795" s="38" t="s">
        <v>2124</v>
      </c>
      <c r="J795" s="38"/>
      <c r="K795" s="38"/>
      <c r="L795" s="38" t="s">
        <v>2125</v>
      </c>
      <c r="M795" s="38" t="s">
        <v>2</v>
      </c>
      <c r="N795" s="38"/>
      <c r="O795" s="10"/>
      <c r="P795" s="11"/>
    </row>
    <row r="796" spans="1:16" ht="15">
      <c r="A796" s="49" t="s">
        <v>3</v>
      </c>
      <c r="B796" s="7" t="s">
        <v>4</v>
      </c>
      <c r="C796" s="51" t="s">
        <v>6</v>
      </c>
      <c r="D796" s="49"/>
      <c r="E796" s="47"/>
      <c r="F796" s="47"/>
      <c r="G796" s="47"/>
      <c r="H796" s="47" t="s">
        <v>2123</v>
      </c>
      <c r="I796" s="47" t="s">
        <v>2124</v>
      </c>
      <c r="J796" s="47"/>
      <c r="K796" s="47"/>
      <c r="L796" s="47" t="s">
        <v>2125</v>
      </c>
      <c r="M796" s="47">
        <v>1</v>
      </c>
      <c r="N796" s="47"/>
      <c r="O796" s="49"/>
      <c r="P796" s="51"/>
    </row>
    <row r="797" spans="1:16" ht="15.75" thickBot="1">
      <c r="A797" s="50"/>
      <c r="B797" s="10" t="s">
        <v>5</v>
      </c>
      <c r="C797" s="52"/>
      <c r="D797" s="50"/>
      <c r="E797" s="48"/>
      <c r="F797" s="48"/>
      <c r="G797" s="48"/>
      <c r="H797" s="48"/>
      <c r="I797" s="48"/>
      <c r="J797" s="48"/>
      <c r="K797" s="48"/>
      <c r="L797" s="48"/>
      <c r="M797" s="48"/>
      <c r="N797" s="48"/>
      <c r="O797" s="50"/>
      <c r="P797" s="52"/>
    </row>
    <row r="798" spans="1:16" ht="15">
      <c r="A798" s="49" t="s">
        <v>7</v>
      </c>
      <c r="B798" s="49" t="s">
        <v>8</v>
      </c>
      <c r="C798" s="51" t="s">
        <v>9</v>
      </c>
      <c r="D798" s="49" t="s">
        <v>10</v>
      </c>
      <c r="E798" s="47" t="s">
        <v>11</v>
      </c>
      <c r="F798" s="47" t="s">
        <v>12</v>
      </c>
      <c r="G798" s="47" t="s">
        <v>2183</v>
      </c>
      <c r="H798" s="47" t="s">
        <v>789</v>
      </c>
      <c r="I798" s="39">
        <v>0.32</v>
      </c>
      <c r="J798" s="47">
        <v>1</v>
      </c>
      <c r="K798" s="47" t="s">
        <v>2187</v>
      </c>
      <c r="L798" s="47" t="s">
        <v>2200</v>
      </c>
      <c r="M798" s="47"/>
      <c r="N798" s="47"/>
      <c r="O798" s="49"/>
      <c r="P798" s="51"/>
    </row>
    <row r="799" spans="1:16" ht="15.75" thickBot="1">
      <c r="A799" s="50"/>
      <c r="B799" s="50"/>
      <c r="C799" s="52"/>
      <c r="D799" s="50"/>
      <c r="E799" s="48"/>
      <c r="F799" s="48"/>
      <c r="G799" s="48"/>
      <c r="H799" s="48"/>
      <c r="I799" s="38">
        <v>0.05</v>
      </c>
      <c r="J799" s="48"/>
      <c r="K799" s="48"/>
      <c r="L799" s="48"/>
      <c r="M799" s="48"/>
      <c r="N799" s="48"/>
      <c r="O799" s="50"/>
      <c r="P799" s="52"/>
    </row>
    <row r="800" spans="1:16" ht="15.75" thickBot="1">
      <c r="A800" s="6" t="s">
        <v>13</v>
      </c>
      <c r="B800" s="10" t="s">
        <v>14</v>
      </c>
      <c r="C800" s="11" t="s">
        <v>15</v>
      </c>
      <c r="D800" s="10" t="s">
        <v>2227</v>
      </c>
      <c r="E800" s="38">
        <v>34</v>
      </c>
      <c r="F800" s="38" t="s">
        <v>16</v>
      </c>
      <c r="G800" s="38"/>
      <c r="H800" s="38" t="s">
        <v>2164</v>
      </c>
      <c r="I800" s="38" t="s">
        <v>2124</v>
      </c>
      <c r="J800" s="38"/>
      <c r="K800" s="38"/>
      <c r="L800" s="38" t="s">
        <v>2165</v>
      </c>
      <c r="M800" s="38">
        <v>1</v>
      </c>
      <c r="N800" s="38"/>
      <c r="O800" s="10"/>
      <c r="P800" s="25" t="str">
        <f>HYPERLINK("http://biade.itrust.de/biade/lpext.dll?f=id&amp;id=biadb%3Ar%3A491071&amp;t=main-h.htm","491071")</f>
        <v>491071</v>
      </c>
    </row>
    <row r="801" spans="1:16" ht="15">
      <c r="A801" s="5" t="s">
        <v>17</v>
      </c>
      <c r="B801" s="49"/>
      <c r="C801" s="51" t="s">
        <v>19</v>
      </c>
      <c r="D801" s="49" t="s">
        <v>2128</v>
      </c>
      <c r="E801" s="47" t="s">
        <v>20</v>
      </c>
      <c r="F801" s="47" t="s">
        <v>3219</v>
      </c>
      <c r="G801" s="47" t="s">
        <v>21</v>
      </c>
      <c r="H801" s="47" t="s">
        <v>1245</v>
      </c>
      <c r="I801" s="47" t="s">
        <v>2124</v>
      </c>
      <c r="J801" s="47"/>
      <c r="K801" s="47"/>
      <c r="L801" s="47" t="s">
        <v>2136</v>
      </c>
      <c r="M801" s="47">
        <v>1</v>
      </c>
      <c r="N801" s="47" t="s">
        <v>1613</v>
      </c>
      <c r="O801" s="49"/>
      <c r="P801" s="51"/>
    </row>
    <row r="802" spans="1:16" ht="26.25" customHeight="1" thickBot="1">
      <c r="A802" s="6" t="s">
        <v>18</v>
      </c>
      <c r="B802" s="50"/>
      <c r="C802" s="52"/>
      <c r="D802" s="50"/>
      <c r="E802" s="48"/>
      <c r="F802" s="48"/>
      <c r="G802" s="48"/>
      <c r="H802" s="48"/>
      <c r="I802" s="48"/>
      <c r="J802" s="48"/>
      <c r="K802" s="48"/>
      <c r="L802" s="48"/>
      <c r="M802" s="48"/>
      <c r="N802" s="48"/>
      <c r="O802" s="50"/>
      <c r="P802" s="52"/>
    </row>
    <row r="803" spans="1:16" ht="15">
      <c r="A803" s="5" t="s">
        <v>22</v>
      </c>
      <c r="B803" s="49" t="s">
        <v>2121</v>
      </c>
      <c r="C803" s="51" t="s">
        <v>23</v>
      </c>
      <c r="D803" s="49"/>
      <c r="E803" s="47"/>
      <c r="F803" s="47"/>
      <c r="G803" s="47"/>
      <c r="H803" s="47" t="s">
        <v>2123</v>
      </c>
      <c r="I803" s="39" t="s">
        <v>4201</v>
      </c>
      <c r="J803" s="47">
        <v>2</v>
      </c>
      <c r="K803" s="47"/>
      <c r="L803" s="47" t="s">
        <v>2125</v>
      </c>
      <c r="M803" s="47" t="s">
        <v>2221</v>
      </c>
      <c r="N803" s="47"/>
      <c r="O803" s="49"/>
      <c r="P803" s="51"/>
    </row>
    <row r="804" spans="1:16" ht="15.75" thickBot="1">
      <c r="A804" s="6" t="s">
        <v>2865</v>
      </c>
      <c r="B804" s="50"/>
      <c r="C804" s="52"/>
      <c r="D804" s="50"/>
      <c r="E804" s="48"/>
      <c r="F804" s="48"/>
      <c r="G804" s="48"/>
      <c r="H804" s="48"/>
      <c r="I804" s="38" t="s">
        <v>2124</v>
      </c>
      <c r="J804" s="48"/>
      <c r="K804" s="48"/>
      <c r="L804" s="48"/>
      <c r="M804" s="48"/>
      <c r="N804" s="48"/>
      <c r="O804" s="50"/>
      <c r="P804" s="52"/>
    </row>
    <row r="805" spans="1:16" ht="15.75" thickBot="1">
      <c r="A805" s="6" t="s">
        <v>24</v>
      </c>
      <c r="B805" s="10" t="s">
        <v>3896</v>
      </c>
      <c r="C805" s="11" t="s">
        <v>25</v>
      </c>
      <c r="D805" s="10" t="s">
        <v>2134</v>
      </c>
      <c r="E805" s="38">
        <v>36</v>
      </c>
      <c r="F805" s="38" t="s">
        <v>26</v>
      </c>
      <c r="G805" s="38"/>
      <c r="H805" s="38" t="s">
        <v>2129</v>
      </c>
      <c r="I805" s="38" t="s">
        <v>2124</v>
      </c>
      <c r="J805" s="38"/>
      <c r="K805" s="38"/>
      <c r="L805" s="38" t="s">
        <v>2125</v>
      </c>
      <c r="M805" s="38" t="s">
        <v>2221</v>
      </c>
      <c r="N805" s="38" t="s">
        <v>1252</v>
      </c>
      <c r="O805" s="10"/>
      <c r="P805" s="11"/>
    </row>
    <row r="806" spans="1:16" ht="15.75" thickBot="1">
      <c r="A806" s="6" t="s">
        <v>27</v>
      </c>
      <c r="B806" s="10" t="s">
        <v>3896</v>
      </c>
      <c r="C806" s="11" t="s">
        <v>28</v>
      </c>
      <c r="D806" s="10"/>
      <c r="E806" s="38"/>
      <c r="F806" s="38"/>
      <c r="G806" s="38"/>
      <c r="H806" s="38" t="s">
        <v>2123</v>
      </c>
      <c r="I806" s="38" t="s">
        <v>2124</v>
      </c>
      <c r="J806" s="38"/>
      <c r="K806" s="38"/>
      <c r="L806" s="38" t="s">
        <v>2165</v>
      </c>
      <c r="M806" s="38" t="s">
        <v>2221</v>
      </c>
      <c r="N806" s="38"/>
      <c r="O806" s="10"/>
      <c r="P806" s="11"/>
    </row>
    <row r="807" spans="1:16" ht="26.25" thickBot="1">
      <c r="A807" s="6" t="s">
        <v>29</v>
      </c>
      <c r="B807" s="10" t="s">
        <v>30</v>
      </c>
      <c r="C807" s="11" t="s">
        <v>31</v>
      </c>
      <c r="D807" s="10" t="s">
        <v>3538</v>
      </c>
      <c r="E807" s="38" t="s">
        <v>32</v>
      </c>
      <c r="F807" s="38" t="s">
        <v>33</v>
      </c>
      <c r="G807" s="38"/>
      <c r="H807" s="38" t="s">
        <v>3220</v>
      </c>
      <c r="I807" s="38" t="s">
        <v>2124</v>
      </c>
      <c r="J807" s="38"/>
      <c r="K807" s="38"/>
      <c r="L807" s="38" t="s">
        <v>2130</v>
      </c>
      <c r="M807" s="38">
        <v>1</v>
      </c>
      <c r="N807" s="38"/>
      <c r="O807" s="10"/>
      <c r="P807" s="25" t="str">
        <f>HYPERLINK("http://biade.itrust.de/biade/lpext.dll?f=id&amp;id=biadb%3Ar%3A011240&amp;t=main-h.htm","11240")</f>
        <v>11240</v>
      </c>
    </row>
    <row r="808" spans="1:16" ht="15.75" thickBot="1">
      <c r="A808" s="6" t="s">
        <v>34</v>
      </c>
      <c r="B808" s="10" t="s">
        <v>35</v>
      </c>
      <c r="C808" s="11"/>
      <c r="D808" s="10" t="s">
        <v>2128</v>
      </c>
      <c r="E808" s="38">
        <v>22</v>
      </c>
      <c r="F808" s="38"/>
      <c r="G808" s="38"/>
      <c r="H808" s="38" t="s">
        <v>2164</v>
      </c>
      <c r="I808" s="38" t="s">
        <v>2124</v>
      </c>
      <c r="J808" s="38"/>
      <c r="K808" s="38"/>
      <c r="L808" s="38" t="s">
        <v>2130</v>
      </c>
      <c r="M808" s="38">
        <v>1</v>
      </c>
      <c r="N808" s="38" t="s">
        <v>2144</v>
      </c>
      <c r="O808" s="10"/>
      <c r="P808" s="11"/>
    </row>
    <row r="809" spans="1:16" ht="15.75" thickBot="1">
      <c r="A809" s="6" t="s">
        <v>36</v>
      </c>
      <c r="B809" s="10" t="s">
        <v>37</v>
      </c>
      <c r="C809" s="11" t="s">
        <v>38</v>
      </c>
      <c r="D809" s="10"/>
      <c r="E809" s="38"/>
      <c r="F809" s="38"/>
      <c r="G809" s="38"/>
      <c r="H809" s="38" t="s">
        <v>2123</v>
      </c>
      <c r="I809" s="38" t="s">
        <v>2124</v>
      </c>
      <c r="J809" s="38"/>
      <c r="K809" s="38"/>
      <c r="L809" s="38" t="s">
        <v>2125</v>
      </c>
      <c r="M809" s="38">
        <v>1</v>
      </c>
      <c r="N809" s="38"/>
      <c r="O809" s="10"/>
      <c r="P809" s="25" t="str">
        <f>HYPERLINK("http://biade.itrust.de/biade/lpext.dll?f=id&amp;id=biadb%3Ar%3A013010&amp;t=main-h.htm","13010")</f>
        <v>13010</v>
      </c>
    </row>
    <row r="810" spans="1:16" ht="15">
      <c r="A810" s="53" t="s">
        <v>39</v>
      </c>
      <c r="B810" s="49"/>
      <c r="C810" s="51" t="s">
        <v>40</v>
      </c>
      <c r="D810" s="49" t="s">
        <v>2752</v>
      </c>
      <c r="E810" s="47" t="s">
        <v>41</v>
      </c>
      <c r="F810" s="47" t="s">
        <v>42</v>
      </c>
      <c r="G810" s="47"/>
      <c r="H810" s="47" t="s">
        <v>2164</v>
      </c>
      <c r="I810" s="39">
        <v>2100</v>
      </c>
      <c r="J810" s="47">
        <v>1</v>
      </c>
      <c r="K810" s="47" t="s">
        <v>2533</v>
      </c>
      <c r="L810" s="47" t="s">
        <v>2130</v>
      </c>
      <c r="M810" s="47">
        <v>2</v>
      </c>
      <c r="N810" s="47"/>
      <c r="O810" s="49"/>
      <c r="P810" s="51"/>
    </row>
    <row r="811" spans="1:16" ht="15.75" thickBot="1">
      <c r="A811" s="54"/>
      <c r="B811" s="50"/>
      <c r="C811" s="52"/>
      <c r="D811" s="50"/>
      <c r="E811" s="48"/>
      <c r="F811" s="48"/>
      <c r="G811" s="48"/>
      <c r="H811" s="48"/>
      <c r="I811" s="38">
        <v>500</v>
      </c>
      <c r="J811" s="48"/>
      <c r="K811" s="48"/>
      <c r="L811" s="48"/>
      <c r="M811" s="48"/>
      <c r="N811" s="48"/>
      <c r="O811" s="50"/>
      <c r="P811" s="52"/>
    </row>
    <row r="812" spans="1:16" ht="15.75" thickBot="1">
      <c r="A812" s="6" t="s">
        <v>43</v>
      </c>
      <c r="B812" s="10" t="s">
        <v>2121</v>
      </c>
      <c r="C812" s="11" t="s">
        <v>44</v>
      </c>
      <c r="D812" s="10" t="s">
        <v>2128</v>
      </c>
      <c r="E812" s="38" t="s">
        <v>45</v>
      </c>
      <c r="F812" s="38" t="s">
        <v>3219</v>
      </c>
      <c r="G812" s="38"/>
      <c r="H812" s="38" t="s">
        <v>2129</v>
      </c>
      <c r="I812" s="38" t="s">
        <v>2124</v>
      </c>
      <c r="J812" s="38"/>
      <c r="K812" s="38"/>
      <c r="L812" s="38" t="s">
        <v>2130</v>
      </c>
      <c r="M812" s="38">
        <v>1</v>
      </c>
      <c r="N812" s="38" t="s">
        <v>2144</v>
      </c>
      <c r="O812" s="10"/>
      <c r="P812" s="25" t="str">
        <f>HYPERLINK("http://biade.itrust.de/biade/lpext.dll?f=id&amp;id=biadb%3Ar%3A570002&amp;t=main-h.htm","570002")</f>
        <v>570002</v>
      </c>
    </row>
    <row r="813" spans="1:16" ht="15.75" thickBot="1">
      <c r="A813" s="6" t="s">
        <v>46</v>
      </c>
      <c r="B813" s="10" t="s">
        <v>2121</v>
      </c>
      <c r="C813" s="11" t="s">
        <v>47</v>
      </c>
      <c r="D813" s="10" t="s">
        <v>2128</v>
      </c>
      <c r="E813" s="38" t="s">
        <v>48</v>
      </c>
      <c r="F813" s="38" t="s">
        <v>3219</v>
      </c>
      <c r="G813" s="38"/>
      <c r="H813" s="38" t="s">
        <v>2129</v>
      </c>
      <c r="I813" s="38" t="s">
        <v>2124</v>
      </c>
      <c r="J813" s="38"/>
      <c r="K813" s="38" t="s">
        <v>2533</v>
      </c>
      <c r="L813" s="38" t="s">
        <v>2130</v>
      </c>
      <c r="M813" s="38">
        <v>1</v>
      </c>
      <c r="N813" s="38" t="s">
        <v>2144</v>
      </c>
      <c r="O813" s="10"/>
      <c r="P813" s="25" t="str">
        <f>HYPERLINK("http://biade.itrust.de/biade/lpext.dll?f=id&amp;id=biadb%3Ar%3A037150&amp;t=main-h.htm","37150")</f>
        <v>37150</v>
      </c>
    </row>
    <row r="814" spans="1:16" ht="15.75" thickBot="1">
      <c r="A814" s="6" t="s">
        <v>49</v>
      </c>
      <c r="B814" s="10" t="s">
        <v>2177</v>
      </c>
      <c r="C814" s="11" t="s">
        <v>50</v>
      </c>
      <c r="D814" s="10" t="s">
        <v>2128</v>
      </c>
      <c r="E814" s="38">
        <v>22</v>
      </c>
      <c r="F814" s="38" t="s">
        <v>845</v>
      </c>
      <c r="G814" s="38"/>
      <c r="H814" s="38" t="s">
        <v>2164</v>
      </c>
      <c r="I814" s="38" t="s">
        <v>2124</v>
      </c>
      <c r="J814" s="38"/>
      <c r="K814" s="38"/>
      <c r="L814" s="38" t="s">
        <v>2130</v>
      </c>
      <c r="M814" s="38">
        <v>3</v>
      </c>
      <c r="N814" s="38" t="s">
        <v>2144</v>
      </c>
      <c r="O814" s="10"/>
      <c r="P814" s="25" t="str">
        <f>HYPERLINK("http://biade.itrust.de/biade/lpext.dll?f=id&amp;id=biadb%3Ar%3A570042&amp;t=main-h.htm","570042")</f>
        <v>570042</v>
      </c>
    </row>
    <row r="815" spans="1:16" ht="15.75" thickBot="1">
      <c r="A815" s="6" t="s">
        <v>51</v>
      </c>
      <c r="B815" s="10" t="s">
        <v>52</v>
      </c>
      <c r="C815" s="11" t="s">
        <v>53</v>
      </c>
      <c r="D815" s="10" t="s">
        <v>2134</v>
      </c>
      <c r="E815" s="38" t="s">
        <v>54</v>
      </c>
      <c r="F815" s="38" t="s">
        <v>55</v>
      </c>
      <c r="G815" s="38"/>
      <c r="H815" s="38" t="s">
        <v>2129</v>
      </c>
      <c r="I815" s="38" t="s">
        <v>2124</v>
      </c>
      <c r="J815" s="38"/>
      <c r="K815" s="38" t="s">
        <v>2533</v>
      </c>
      <c r="L815" s="38" t="s">
        <v>2130</v>
      </c>
      <c r="M815" s="38">
        <v>1</v>
      </c>
      <c r="N815" s="38" t="s">
        <v>1252</v>
      </c>
      <c r="O815" s="10"/>
      <c r="P815" s="25" t="str">
        <f>HYPERLINK("http://biade.itrust.de/biade/lpext.dll?f=id&amp;id=biadb%3Ar%3A493339&amp;t=main-h.htm","493339")</f>
        <v>493339</v>
      </c>
    </row>
    <row r="816" spans="1:16" ht="15" customHeight="1">
      <c r="A816" s="49" t="s">
        <v>56</v>
      </c>
      <c r="B816" s="7" t="s">
        <v>57</v>
      </c>
      <c r="C816" s="51" t="s">
        <v>59</v>
      </c>
      <c r="D816" s="49" t="s">
        <v>1229</v>
      </c>
      <c r="E816" s="47" t="s">
        <v>60</v>
      </c>
      <c r="F816" s="47" t="s">
        <v>735</v>
      </c>
      <c r="G816" s="47" t="s">
        <v>4074</v>
      </c>
      <c r="H816" s="47" t="s">
        <v>3220</v>
      </c>
      <c r="I816" s="47" t="s">
        <v>2124</v>
      </c>
      <c r="J816" s="47"/>
      <c r="K816" s="47" t="s">
        <v>2189</v>
      </c>
      <c r="L816" s="47" t="s">
        <v>2194</v>
      </c>
      <c r="M816" s="47">
        <v>3</v>
      </c>
      <c r="N816" s="47"/>
      <c r="O816" s="49"/>
      <c r="P816" s="51"/>
    </row>
    <row r="817" spans="1:16" ht="15.75" thickBot="1">
      <c r="A817" s="50"/>
      <c r="B817" s="10" t="s">
        <v>58</v>
      </c>
      <c r="C817" s="52"/>
      <c r="D817" s="50"/>
      <c r="E817" s="48"/>
      <c r="F817" s="48"/>
      <c r="G817" s="48"/>
      <c r="H817" s="48"/>
      <c r="I817" s="48"/>
      <c r="J817" s="48"/>
      <c r="K817" s="48"/>
      <c r="L817" s="48"/>
      <c r="M817" s="48"/>
      <c r="N817" s="48"/>
      <c r="O817" s="50"/>
      <c r="P817" s="52"/>
    </row>
    <row r="818" spans="1:16" ht="15">
      <c r="A818" s="49" t="s">
        <v>61</v>
      </c>
      <c r="B818" s="7" t="s">
        <v>62</v>
      </c>
      <c r="C818" s="51" t="s">
        <v>63</v>
      </c>
      <c r="D818" s="49" t="s">
        <v>2128</v>
      </c>
      <c r="E818" s="47" t="s">
        <v>64</v>
      </c>
      <c r="F818" s="47" t="s">
        <v>1244</v>
      </c>
      <c r="G818" s="47"/>
      <c r="H818" s="47" t="s">
        <v>3220</v>
      </c>
      <c r="I818" s="39">
        <v>9.8</v>
      </c>
      <c r="J818" s="47">
        <v>2</v>
      </c>
      <c r="K818" s="47"/>
      <c r="L818" s="47" t="s">
        <v>2165</v>
      </c>
      <c r="M818" s="47">
        <v>3</v>
      </c>
      <c r="N818" s="47"/>
      <c r="O818" s="49"/>
      <c r="P818" s="51"/>
    </row>
    <row r="819" spans="1:16" ht="15.75" thickBot="1">
      <c r="A819" s="50"/>
      <c r="B819" s="10" t="s">
        <v>871</v>
      </c>
      <c r="C819" s="52"/>
      <c r="D819" s="50"/>
      <c r="E819" s="48"/>
      <c r="F819" s="48"/>
      <c r="G819" s="48"/>
      <c r="H819" s="48"/>
      <c r="I819" s="38">
        <v>1</v>
      </c>
      <c r="J819" s="48"/>
      <c r="K819" s="48"/>
      <c r="L819" s="48"/>
      <c r="M819" s="48"/>
      <c r="N819" s="48"/>
      <c r="O819" s="50"/>
      <c r="P819" s="52"/>
    </row>
    <row r="820" spans="1:16" ht="15">
      <c r="A820" s="5" t="s">
        <v>987</v>
      </c>
      <c r="B820" s="49" t="s">
        <v>65</v>
      </c>
      <c r="C820" s="51" t="s">
        <v>66</v>
      </c>
      <c r="D820" s="49" t="s">
        <v>1229</v>
      </c>
      <c r="E820" s="47" t="s">
        <v>67</v>
      </c>
      <c r="F820" s="47" t="s">
        <v>1281</v>
      </c>
      <c r="G820" s="47" t="s">
        <v>2184</v>
      </c>
      <c r="H820" s="47" t="s">
        <v>3220</v>
      </c>
      <c r="I820" s="47" t="s">
        <v>2124</v>
      </c>
      <c r="J820" s="47"/>
      <c r="K820" s="47" t="s">
        <v>2157</v>
      </c>
      <c r="L820" s="47" t="s">
        <v>2136</v>
      </c>
      <c r="M820" s="47"/>
      <c r="N820" s="47" t="s">
        <v>2798</v>
      </c>
      <c r="O820" s="49"/>
      <c r="P820" s="51"/>
    </row>
    <row r="821" spans="1:16" ht="15.75" thickBot="1">
      <c r="A821" s="6" t="s">
        <v>3996</v>
      </c>
      <c r="B821" s="50"/>
      <c r="C821" s="52"/>
      <c r="D821" s="50"/>
      <c r="E821" s="48"/>
      <c r="F821" s="48"/>
      <c r="G821" s="48"/>
      <c r="H821" s="48"/>
      <c r="I821" s="48"/>
      <c r="J821" s="48"/>
      <c r="K821" s="48"/>
      <c r="L821" s="48"/>
      <c r="M821" s="48"/>
      <c r="N821" s="48"/>
      <c r="O821" s="50"/>
      <c r="P821" s="52"/>
    </row>
    <row r="822" spans="1:16" ht="15">
      <c r="A822" s="49" t="s">
        <v>68</v>
      </c>
      <c r="B822" s="49" t="s">
        <v>69</v>
      </c>
      <c r="C822" s="51" t="s">
        <v>70</v>
      </c>
      <c r="D822" s="49"/>
      <c r="E822" s="47"/>
      <c r="F822" s="47"/>
      <c r="G822" s="47"/>
      <c r="H822" s="47" t="s">
        <v>2123</v>
      </c>
      <c r="I822" s="39">
        <v>200</v>
      </c>
      <c r="J822" s="47">
        <v>1</v>
      </c>
      <c r="K822" s="47"/>
      <c r="L822" s="47" t="s">
        <v>2165</v>
      </c>
      <c r="M822" s="47" t="s">
        <v>2221</v>
      </c>
      <c r="N822" s="47"/>
      <c r="O822" s="49"/>
      <c r="P822" s="51"/>
    </row>
    <row r="823" spans="1:16" ht="15.75" thickBot="1">
      <c r="A823" s="50"/>
      <c r="B823" s="50"/>
      <c r="C823" s="52"/>
      <c r="D823" s="50"/>
      <c r="E823" s="48"/>
      <c r="F823" s="48"/>
      <c r="G823" s="48"/>
      <c r="H823" s="48"/>
      <c r="I823" s="38">
        <v>20</v>
      </c>
      <c r="J823" s="48"/>
      <c r="K823" s="48"/>
      <c r="L823" s="48"/>
      <c r="M823" s="48"/>
      <c r="N823" s="48"/>
      <c r="O823" s="50"/>
      <c r="P823" s="52"/>
    </row>
    <row r="824" spans="1:16" ht="15.75" thickBot="1">
      <c r="A824" s="6" t="s">
        <v>71</v>
      </c>
      <c r="B824" s="10" t="s">
        <v>72</v>
      </c>
      <c r="C824" s="11" t="s">
        <v>73</v>
      </c>
      <c r="D824" s="10" t="s">
        <v>3771</v>
      </c>
      <c r="E824" s="38" t="s">
        <v>74</v>
      </c>
      <c r="F824" s="38" t="s">
        <v>3939</v>
      </c>
      <c r="G824" s="38" t="s">
        <v>2184</v>
      </c>
      <c r="H824" s="38" t="s">
        <v>2164</v>
      </c>
      <c r="I824" s="38" t="s">
        <v>2124</v>
      </c>
      <c r="J824" s="38"/>
      <c r="K824" s="38"/>
      <c r="L824" s="38" t="s">
        <v>2130</v>
      </c>
      <c r="M824" s="38">
        <v>1</v>
      </c>
      <c r="N824" s="38" t="s">
        <v>75</v>
      </c>
      <c r="O824" s="10"/>
      <c r="P824" s="25" t="str">
        <f>HYPERLINK("http://biade.itrust.de/biade/lpext.dll?f=id&amp;id=biadb%3Ar%3A020410&amp;t=main-h.htm","20410")</f>
        <v>20410</v>
      </c>
    </row>
    <row r="825" spans="1:16" ht="15" customHeight="1">
      <c r="A825" s="53" t="s">
        <v>76</v>
      </c>
      <c r="B825" s="49"/>
      <c r="C825" s="51" t="s">
        <v>77</v>
      </c>
      <c r="D825" s="49" t="s">
        <v>2752</v>
      </c>
      <c r="E825" s="47" t="s">
        <v>4228</v>
      </c>
      <c r="F825" s="47" t="s">
        <v>78</v>
      </c>
      <c r="G825" s="47" t="s">
        <v>79</v>
      </c>
      <c r="H825" s="47" t="s">
        <v>3220</v>
      </c>
      <c r="I825" s="39">
        <v>180</v>
      </c>
      <c r="J825" s="47">
        <v>8</v>
      </c>
      <c r="K825" s="47" t="s">
        <v>2533</v>
      </c>
      <c r="L825" s="47" t="s">
        <v>2130</v>
      </c>
      <c r="M825" s="47">
        <v>2</v>
      </c>
      <c r="N825" s="47" t="s">
        <v>80</v>
      </c>
      <c r="O825" s="49"/>
      <c r="P825" s="51"/>
    </row>
    <row r="826" spans="1:16" ht="15.75" thickBot="1">
      <c r="A826" s="54"/>
      <c r="B826" s="50"/>
      <c r="C826" s="52"/>
      <c r="D826" s="50"/>
      <c r="E826" s="48"/>
      <c r="F826" s="48"/>
      <c r="G826" s="48"/>
      <c r="H826" s="48"/>
      <c r="I826" s="38">
        <v>50</v>
      </c>
      <c r="J826" s="48"/>
      <c r="K826" s="48"/>
      <c r="L826" s="48"/>
      <c r="M826" s="48"/>
      <c r="N826" s="48"/>
      <c r="O826" s="50"/>
      <c r="P826" s="52"/>
    </row>
    <row r="827" spans="1:16" ht="15">
      <c r="A827" s="49" t="s">
        <v>81</v>
      </c>
      <c r="B827" s="49"/>
      <c r="C827" s="51" t="s">
        <v>82</v>
      </c>
      <c r="D827" s="49" t="s">
        <v>2128</v>
      </c>
      <c r="E827" s="47">
        <v>22</v>
      </c>
      <c r="F827" s="47" t="s">
        <v>4026</v>
      </c>
      <c r="G827" s="47"/>
      <c r="H827" s="47" t="s">
        <v>2164</v>
      </c>
      <c r="I827" s="39">
        <v>210</v>
      </c>
      <c r="J827" s="47">
        <v>1</v>
      </c>
      <c r="K827" s="47"/>
      <c r="L827" s="47" t="s">
        <v>2130</v>
      </c>
      <c r="M827" s="47">
        <v>1</v>
      </c>
      <c r="N827" s="47" t="s">
        <v>2144</v>
      </c>
      <c r="O827" s="49"/>
      <c r="P827" s="51"/>
    </row>
    <row r="828" spans="1:16" ht="15.75" thickBot="1">
      <c r="A828" s="50"/>
      <c r="B828" s="50"/>
      <c r="C828" s="52"/>
      <c r="D828" s="50"/>
      <c r="E828" s="48"/>
      <c r="F828" s="48"/>
      <c r="G828" s="48"/>
      <c r="H828" s="48"/>
      <c r="I828" s="38">
        <v>50</v>
      </c>
      <c r="J828" s="48"/>
      <c r="K828" s="48"/>
      <c r="L828" s="48"/>
      <c r="M828" s="48"/>
      <c r="N828" s="48"/>
      <c r="O828" s="50"/>
      <c r="P828" s="52"/>
    </row>
    <row r="829" spans="1:16" ht="15.75" thickBot="1">
      <c r="A829" s="6" t="s">
        <v>83</v>
      </c>
      <c r="B829" s="10" t="s">
        <v>4217</v>
      </c>
      <c r="C829" s="11" t="s">
        <v>84</v>
      </c>
      <c r="D829" s="10"/>
      <c r="E829" s="38">
        <v>10</v>
      </c>
      <c r="F829" s="38">
        <v>16</v>
      </c>
      <c r="G829" s="38"/>
      <c r="H829" s="38" t="s">
        <v>500</v>
      </c>
      <c r="I829" s="38" t="s">
        <v>2124</v>
      </c>
      <c r="J829" s="38"/>
      <c r="K829" s="38" t="s">
        <v>2533</v>
      </c>
      <c r="L829" s="38" t="s">
        <v>2130</v>
      </c>
      <c r="M829" s="38">
        <v>1</v>
      </c>
      <c r="N829" s="38"/>
      <c r="O829" s="10"/>
      <c r="P829" s="25" t="str">
        <f>HYPERLINK("http://biade.itrust.de/biade/lpext.dll?f=id&amp;id=biadb%3Ar%3A491018&amp;t=main-h.htm","491018")</f>
        <v>491018</v>
      </c>
    </row>
    <row r="830" spans="1:16" ht="15.75" thickBot="1">
      <c r="A830" s="6" t="s">
        <v>85</v>
      </c>
      <c r="B830" s="10" t="s">
        <v>1907</v>
      </c>
      <c r="C830" s="11" t="s">
        <v>86</v>
      </c>
      <c r="D830" s="10"/>
      <c r="E830" s="38">
        <v>10</v>
      </c>
      <c r="F830" s="38"/>
      <c r="G830" s="38"/>
      <c r="H830" s="38" t="s">
        <v>500</v>
      </c>
      <c r="I830" s="38" t="s">
        <v>2124</v>
      </c>
      <c r="J830" s="38"/>
      <c r="K830" s="38" t="s">
        <v>2533</v>
      </c>
      <c r="L830" s="38" t="s">
        <v>2130</v>
      </c>
      <c r="M830" s="38">
        <v>1</v>
      </c>
      <c r="N830" s="38"/>
      <c r="O830" s="10"/>
      <c r="P830" s="25" t="str">
        <f>HYPERLINK("http://biade.itrust.de/biade/lpext.dll?f=id&amp;id=biadb%3Ar%3A491019&amp;t=main-h.htm","491019")</f>
        <v>491019</v>
      </c>
    </row>
    <row r="831" spans="1:16" ht="15.75" thickBot="1">
      <c r="A831" s="6" t="s">
        <v>87</v>
      </c>
      <c r="B831" s="10" t="s">
        <v>88</v>
      </c>
      <c r="C831" s="11" t="s">
        <v>89</v>
      </c>
      <c r="D831" s="10" t="s">
        <v>3859</v>
      </c>
      <c r="E831" s="38">
        <v>11</v>
      </c>
      <c r="F831" s="38">
        <v>16</v>
      </c>
      <c r="G831" s="38"/>
      <c r="H831" s="38" t="s">
        <v>2164</v>
      </c>
      <c r="I831" s="38" t="s">
        <v>2124</v>
      </c>
      <c r="J831" s="38"/>
      <c r="K831" s="38" t="s">
        <v>2533</v>
      </c>
      <c r="L831" s="38" t="s">
        <v>2130</v>
      </c>
      <c r="M831" s="38">
        <v>1</v>
      </c>
      <c r="N831" s="38"/>
      <c r="O831" s="10"/>
      <c r="P831" s="25" t="str">
        <f>HYPERLINK("http://biade.itrust.de/biade/lpext.dll?f=id&amp;id=biadb%3Ar%3A493338&amp;t=main-h.htm","493338")</f>
        <v>493338</v>
      </c>
    </row>
    <row r="832" spans="1:16" ht="15">
      <c r="A832" s="49" t="s">
        <v>90</v>
      </c>
      <c r="B832" s="7" t="s">
        <v>91</v>
      </c>
      <c r="C832" s="51" t="s">
        <v>92</v>
      </c>
      <c r="D832" s="49" t="s">
        <v>2227</v>
      </c>
      <c r="E832" s="47">
        <v>34</v>
      </c>
      <c r="F832" s="47" t="s">
        <v>3884</v>
      </c>
      <c r="G832" s="47"/>
      <c r="H832" s="47" t="s">
        <v>2164</v>
      </c>
      <c r="I832" s="47" t="s">
        <v>2124</v>
      </c>
      <c r="J832" s="47"/>
      <c r="K832" s="47"/>
      <c r="L832" s="47" t="s">
        <v>2130</v>
      </c>
      <c r="M832" s="47">
        <v>1</v>
      </c>
      <c r="N832" s="47" t="s">
        <v>3792</v>
      </c>
      <c r="O832" s="49"/>
      <c r="P832" s="51"/>
    </row>
    <row r="833" spans="1:16" ht="15.75" thickBot="1">
      <c r="A833" s="50"/>
      <c r="B833" s="10" t="s">
        <v>1262</v>
      </c>
      <c r="C833" s="52"/>
      <c r="D833" s="50"/>
      <c r="E833" s="48"/>
      <c r="F833" s="48"/>
      <c r="G833" s="48"/>
      <c r="H833" s="48"/>
      <c r="I833" s="48"/>
      <c r="J833" s="48"/>
      <c r="K833" s="48"/>
      <c r="L833" s="48"/>
      <c r="M833" s="48"/>
      <c r="N833" s="48"/>
      <c r="O833" s="50"/>
      <c r="P833" s="52"/>
    </row>
    <row r="834" spans="1:16" ht="15.75" thickBot="1">
      <c r="A834" s="6" t="s">
        <v>93</v>
      </c>
      <c r="B834" s="10" t="s">
        <v>2121</v>
      </c>
      <c r="C834" s="11" t="s">
        <v>94</v>
      </c>
      <c r="D834" s="10" t="s">
        <v>3778</v>
      </c>
      <c r="E834" s="38" t="s">
        <v>95</v>
      </c>
      <c r="F834" s="38" t="s">
        <v>96</v>
      </c>
      <c r="G834" s="38"/>
      <c r="H834" s="38" t="s">
        <v>2164</v>
      </c>
      <c r="I834" s="38" t="s">
        <v>2124</v>
      </c>
      <c r="J834" s="38"/>
      <c r="K834" s="38" t="s">
        <v>2533</v>
      </c>
      <c r="L834" s="38" t="s">
        <v>2130</v>
      </c>
      <c r="M834" s="38">
        <v>1</v>
      </c>
      <c r="N834" s="38"/>
      <c r="O834" s="10"/>
      <c r="P834" s="25" t="str">
        <f>HYPERLINK("http://biade.itrust.de/biade/lpext.dll?f=id&amp;id=biadb%3Ar%3A039740&amp;t=main-h.htm","39740")</f>
        <v>39740</v>
      </c>
    </row>
    <row r="835" spans="1:16" ht="15.75" thickBot="1">
      <c r="A835" s="6" t="s">
        <v>97</v>
      </c>
      <c r="B835" s="10" t="s">
        <v>2121</v>
      </c>
      <c r="C835" s="11" t="s">
        <v>1267</v>
      </c>
      <c r="D835" s="10"/>
      <c r="E835" s="38"/>
      <c r="F835" s="38"/>
      <c r="G835" s="38"/>
      <c r="H835" s="38" t="s">
        <v>2123</v>
      </c>
      <c r="I835" s="38" t="s">
        <v>2124</v>
      </c>
      <c r="J835" s="38"/>
      <c r="K835" s="38"/>
      <c r="L835" s="38" t="s">
        <v>2125</v>
      </c>
      <c r="M835" s="38" t="s">
        <v>2221</v>
      </c>
      <c r="N835" s="38"/>
      <c r="O835" s="10"/>
      <c r="P835" s="25" t="str">
        <f>HYPERLINK("http://biade.itrust.de/biade/lpext.dll?f=id&amp;id=biadb%3Ar%3A008040&amp;t=main-h.htm","8040")</f>
        <v>8040</v>
      </c>
    </row>
    <row r="836" spans="1:16" ht="15">
      <c r="A836" s="49" t="s">
        <v>98</v>
      </c>
      <c r="B836" s="49"/>
      <c r="C836" s="51" t="s">
        <v>99</v>
      </c>
      <c r="D836" s="49"/>
      <c r="E836" s="47"/>
      <c r="F836" s="47"/>
      <c r="G836" s="47" t="s">
        <v>100</v>
      </c>
      <c r="H836" s="47" t="s">
        <v>833</v>
      </c>
      <c r="I836" s="39" t="s">
        <v>2844</v>
      </c>
      <c r="J836" s="47"/>
      <c r="K836" s="47"/>
      <c r="L836" s="47" t="s">
        <v>2125</v>
      </c>
      <c r="M836" s="47"/>
      <c r="N836" s="47"/>
      <c r="O836" s="49"/>
      <c r="P836" s="51"/>
    </row>
    <row r="837" spans="1:16" ht="15.75" thickBot="1">
      <c r="A837" s="50"/>
      <c r="B837" s="50"/>
      <c r="C837" s="52"/>
      <c r="D837" s="50"/>
      <c r="E837" s="48"/>
      <c r="F837" s="48"/>
      <c r="G837" s="48"/>
      <c r="H837" s="48"/>
      <c r="I837" s="38" t="s">
        <v>2124</v>
      </c>
      <c r="J837" s="48"/>
      <c r="K837" s="48"/>
      <c r="L837" s="48"/>
      <c r="M837" s="48"/>
      <c r="N837" s="48"/>
      <c r="O837" s="50"/>
      <c r="P837" s="52"/>
    </row>
    <row r="838" spans="1:16" ht="15">
      <c r="A838" s="5" t="s">
        <v>101</v>
      </c>
      <c r="B838" s="49"/>
      <c r="C838" s="51" t="s">
        <v>103</v>
      </c>
      <c r="D838" s="49" t="s">
        <v>2152</v>
      </c>
      <c r="E838" s="47" t="s">
        <v>104</v>
      </c>
      <c r="F838" s="47" t="s">
        <v>2154</v>
      </c>
      <c r="G838" s="47" t="s">
        <v>2779</v>
      </c>
      <c r="H838" s="47" t="s">
        <v>105</v>
      </c>
      <c r="I838" s="47" t="s">
        <v>2124</v>
      </c>
      <c r="J838" s="47"/>
      <c r="K838" s="47" t="s">
        <v>1239</v>
      </c>
      <c r="L838" s="47" t="s">
        <v>2212</v>
      </c>
      <c r="M838" s="47">
        <v>3</v>
      </c>
      <c r="N838" s="47"/>
      <c r="O838" s="49"/>
      <c r="P838" s="51"/>
    </row>
    <row r="839" spans="1:16" ht="26.25" customHeight="1" thickBot="1">
      <c r="A839" s="6" t="s">
        <v>102</v>
      </c>
      <c r="B839" s="50"/>
      <c r="C839" s="52"/>
      <c r="D839" s="50"/>
      <c r="E839" s="48"/>
      <c r="F839" s="48"/>
      <c r="G839" s="48"/>
      <c r="H839" s="48"/>
      <c r="I839" s="48"/>
      <c r="J839" s="48"/>
      <c r="K839" s="48"/>
      <c r="L839" s="48"/>
      <c r="M839" s="48"/>
      <c r="N839" s="48"/>
      <c r="O839" s="50"/>
      <c r="P839" s="52"/>
    </row>
    <row r="840" spans="1:16" ht="15.75" thickBot="1">
      <c r="A840" s="6" t="s">
        <v>965</v>
      </c>
      <c r="B840" s="10" t="s">
        <v>2121</v>
      </c>
      <c r="C840" s="11" t="s">
        <v>106</v>
      </c>
      <c r="D840" s="10" t="s">
        <v>2152</v>
      </c>
      <c r="E840" s="38" t="s">
        <v>2778</v>
      </c>
      <c r="F840" s="38" t="s">
        <v>2154</v>
      </c>
      <c r="G840" s="38" t="s">
        <v>107</v>
      </c>
      <c r="H840" s="38" t="s">
        <v>1232</v>
      </c>
      <c r="I840" s="38" t="s">
        <v>2124</v>
      </c>
      <c r="J840" s="38"/>
      <c r="K840" s="38" t="s">
        <v>2187</v>
      </c>
      <c r="L840" s="38" t="s">
        <v>2212</v>
      </c>
      <c r="M840" s="38">
        <v>3</v>
      </c>
      <c r="N840" s="38"/>
      <c r="O840" s="10"/>
      <c r="P840" s="25" t="str">
        <f>HYPERLINK("http://biade.itrust.de/biade/lpext.dll?f=id&amp;id=biadb%3Ar%3A003070&amp;t=main-h.htm","3070")</f>
        <v>3070</v>
      </c>
    </row>
    <row r="841" spans="1:16" ht="15.75" thickBot="1">
      <c r="A841" s="6" t="s">
        <v>108</v>
      </c>
      <c r="B841" s="10" t="s">
        <v>2121</v>
      </c>
      <c r="C841" s="11" t="s">
        <v>109</v>
      </c>
      <c r="D841" s="10" t="s">
        <v>2152</v>
      </c>
      <c r="E841" s="38" t="s">
        <v>2778</v>
      </c>
      <c r="F841" s="38" t="s">
        <v>2154</v>
      </c>
      <c r="G841" s="38" t="s">
        <v>107</v>
      </c>
      <c r="H841" s="38" t="s">
        <v>1232</v>
      </c>
      <c r="I841" s="38" t="s">
        <v>2124</v>
      </c>
      <c r="J841" s="38"/>
      <c r="K841" s="38" t="s">
        <v>2187</v>
      </c>
      <c r="L841" s="38" t="s">
        <v>2212</v>
      </c>
      <c r="M841" s="38">
        <v>3</v>
      </c>
      <c r="N841" s="38"/>
      <c r="O841" s="10"/>
      <c r="P841" s="25" t="str">
        <f>HYPERLINK("http://biade.itrust.de/biade/lpext.dll?f=id&amp;id=biadb%3Ar%3A002260&amp;t=main-h.htm","2260")</f>
        <v>2260</v>
      </c>
    </row>
    <row r="842" spans="1:16" ht="15.75" thickBot="1">
      <c r="A842" s="6" t="s">
        <v>110</v>
      </c>
      <c r="B842" s="10" t="s">
        <v>2121</v>
      </c>
      <c r="C842" s="11" t="s">
        <v>111</v>
      </c>
      <c r="D842" s="10" t="s">
        <v>2128</v>
      </c>
      <c r="E842" s="38" t="s">
        <v>112</v>
      </c>
      <c r="F842" s="38" t="s">
        <v>3898</v>
      </c>
      <c r="G842" s="38"/>
      <c r="H842" s="38" t="s">
        <v>2164</v>
      </c>
      <c r="I842" s="38" t="s">
        <v>2124</v>
      </c>
      <c r="J842" s="38"/>
      <c r="K842" s="38"/>
      <c r="L842" s="38" t="s">
        <v>2165</v>
      </c>
      <c r="M842" s="38">
        <v>1</v>
      </c>
      <c r="N842" s="38"/>
      <c r="O842" s="10"/>
      <c r="P842" s="25" t="str">
        <f>HYPERLINK("http://biade.itrust.de/biade/lpext.dll?f=id&amp;id=biadb%3Ar%3A022870&amp;t=main-h.htm","22870")</f>
        <v>22870</v>
      </c>
    </row>
    <row r="843" spans="1:16" ht="15">
      <c r="A843" s="49" t="s">
        <v>113</v>
      </c>
      <c r="B843" s="7" t="s">
        <v>114</v>
      </c>
      <c r="C843" s="51" t="s">
        <v>115</v>
      </c>
      <c r="D843" s="49"/>
      <c r="E843" s="47"/>
      <c r="F843" s="47" t="s">
        <v>845</v>
      </c>
      <c r="G843" s="47"/>
      <c r="H843" s="47" t="s">
        <v>2123</v>
      </c>
      <c r="I843" s="47"/>
      <c r="J843" s="47"/>
      <c r="K843" s="47"/>
      <c r="L843" s="47"/>
      <c r="M843" s="47">
        <v>1</v>
      </c>
      <c r="N843" s="47"/>
      <c r="O843" s="49"/>
      <c r="P843" s="51"/>
    </row>
    <row r="844" spans="1:16" ht="15.75" thickBot="1">
      <c r="A844" s="50"/>
      <c r="B844" s="10" t="s">
        <v>1099</v>
      </c>
      <c r="C844" s="52"/>
      <c r="D844" s="50"/>
      <c r="E844" s="48"/>
      <c r="F844" s="48"/>
      <c r="G844" s="48"/>
      <c r="H844" s="48"/>
      <c r="I844" s="48"/>
      <c r="J844" s="48"/>
      <c r="K844" s="48"/>
      <c r="L844" s="48"/>
      <c r="M844" s="48"/>
      <c r="N844" s="48"/>
      <c r="O844" s="50"/>
      <c r="P844" s="52"/>
    </row>
    <row r="845" spans="1:16" ht="26.25" thickBot="1">
      <c r="A845" s="6" t="s">
        <v>964</v>
      </c>
      <c r="B845" s="10" t="s">
        <v>116</v>
      </c>
      <c r="C845" s="11" t="s">
        <v>117</v>
      </c>
      <c r="D845" s="10"/>
      <c r="E845" s="38"/>
      <c r="F845" s="38"/>
      <c r="G845" s="38"/>
      <c r="H845" s="38" t="s">
        <v>2123</v>
      </c>
      <c r="I845" s="38"/>
      <c r="J845" s="38"/>
      <c r="K845" s="38"/>
      <c r="L845" s="38" t="s">
        <v>2165</v>
      </c>
      <c r="M845" s="38">
        <v>1</v>
      </c>
      <c r="N845" s="38"/>
      <c r="O845" s="10"/>
      <c r="P845" s="25" t="str">
        <f>HYPERLINK("http://biade.itrust.de/biade/lpext.dll?f=id&amp;id=biadb%3Ar%3A025810&amp;t=main-h.htm","25810")</f>
        <v>25810</v>
      </c>
    </row>
    <row r="846" spans="1:16" ht="15">
      <c r="A846" s="49" t="s">
        <v>118</v>
      </c>
      <c r="B846" s="7" t="s">
        <v>119</v>
      </c>
      <c r="C846" s="51" t="s">
        <v>120</v>
      </c>
      <c r="D846" s="49" t="s">
        <v>2128</v>
      </c>
      <c r="E846" s="47">
        <v>22</v>
      </c>
      <c r="F846" s="47"/>
      <c r="G846" s="47"/>
      <c r="H846" s="47" t="s">
        <v>2164</v>
      </c>
      <c r="I846" s="47" t="s">
        <v>2124</v>
      </c>
      <c r="J846" s="47"/>
      <c r="K846" s="47"/>
      <c r="L846" s="47" t="s">
        <v>2130</v>
      </c>
      <c r="M846" s="47">
        <v>2</v>
      </c>
      <c r="N846" s="47" t="s">
        <v>2144</v>
      </c>
      <c r="O846" s="49"/>
      <c r="P846" s="51"/>
    </row>
    <row r="847" spans="1:16" ht="15.75" thickBot="1">
      <c r="A847" s="50"/>
      <c r="B847" s="10" t="s">
        <v>1099</v>
      </c>
      <c r="C847" s="52"/>
      <c r="D847" s="50"/>
      <c r="E847" s="48"/>
      <c r="F847" s="48"/>
      <c r="G847" s="48"/>
      <c r="H847" s="48"/>
      <c r="I847" s="48"/>
      <c r="J847" s="48"/>
      <c r="K847" s="48"/>
      <c r="L847" s="48"/>
      <c r="M847" s="48"/>
      <c r="N847" s="48"/>
      <c r="O847" s="50"/>
      <c r="P847" s="52"/>
    </row>
    <row r="848" spans="1:16" ht="15.75" thickBot="1">
      <c r="A848" s="6" t="s">
        <v>121</v>
      </c>
      <c r="B848" s="10" t="s">
        <v>1100</v>
      </c>
      <c r="C848" s="11" t="s">
        <v>122</v>
      </c>
      <c r="D848" s="10" t="s">
        <v>123</v>
      </c>
      <c r="E848" s="38" t="s">
        <v>124</v>
      </c>
      <c r="F848" s="38" t="s">
        <v>4154</v>
      </c>
      <c r="G848" s="38" t="s">
        <v>1984</v>
      </c>
      <c r="H848" s="38" t="s">
        <v>125</v>
      </c>
      <c r="I848" s="38" t="s">
        <v>2124</v>
      </c>
      <c r="J848" s="38"/>
      <c r="K848" s="38"/>
      <c r="L848" s="38" t="s">
        <v>2136</v>
      </c>
      <c r="M848" s="38">
        <v>3</v>
      </c>
      <c r="N848" s="38" t="s">
        <v>1980</v>
      </c>
      <c r="O848" s="10"/>
      <c r="P848" s="25" t="str">
        <f>HYPERLINK("http://biade.itrust.de/biade/lpext.dll?f=id&amp;id=biadb%3Ar%3A005080&amp;t=main-h.htm","5080")</f>
        <v>5080</v>
      </c>
    </row>
    <row r="849" spans="1:16" ht="15.75" thickBot="1">
      <c r="A849" s="6" t="s">
        <v>126</v>
      </c>
      <c r="B849" s="10" t="s">
        <v>1101</v>
      </c>
      <c r="C849" s="11" t="s">
        <v>127</v>
      </c>
      <c r="D849" s="10" t="s">
        <v>123</v>
      </c>
      <c r="E849" s="38" t="s">
        <v>124</v>
      </c>
      <c r="F849" s="38" t="s">
        <v>4154</v>
      </c>
      <c r="G849" s="38" t="s">
        <v>1984</v>
      </c>
      <c r="H849" s="38" t="s">
        <v>125</v>
      </c>
      <c r="I849" s="38" t="s">
        <v>2124</v>
      </c>
      <c r="J849" s="38"/>
      <c r="K849" s="38"/>
      <c r="L849" s="38" t="s">
        <v>2136</v>
      </c>
      <c r="M849" s="38">
        <v>3</v>
      </c>
      <c r="N849" s="38" t="s">
        <v>1980</v>
      </c>
      <c r="O849" s="10"/>
      <c r="P849" s="25" t="str">
        <f>HYPERLINK("http://biade.itrust.de/biade/lpext.dll?f=id&amp;id=biadb%3Ar%3A003020&amp;t=main-h.htm","3020")</f>
        <v>3020</v>
      </c>
    </row>
    <row r="850" spans="1:16" ht="26.25" thickBot="1">
      <c r="A850" s="6" t="s">
        <v>128</v>
      </c>
      <c r="B850" s="10" t="s">
        <v>129</v>
      </c>
      <c r="C850" s="11"/>
      <c r="D850" s="10" t="s">
        <v>2134</v>
      </c>
      <c r="E850" s="38">
        <v>41</v>
      </c>
      <c r="F850" s="38" t="s">
        <v>3898</v>
      </c>
      <c r="G850" s="38"/>
      <c r="H850" s="38" t="s">
        <v>2164</v>
      </c>
      <c r="I850" s="38" t="s">
        <v>2124</v>
      </c>
      <c r="J850" s="38"/>
      <c r="K850" s="38"/>
      <c r="L850" s="38" t="s">
        <v>2125</v>
      </c>
      <c r="M850" s="38">
        <v>1</v>
      </c>
      <c r="N850" s="38"/>
      <c r="O850" s="10"/>
      <c r="P850" s="11"/>
    </row>
    <row r="851" spans="1:16" ht="15.75" thickBot="1">
      <c r="A851" s="6" t="s">
        <v>130</v>
      </c>
      <c r="B851" s="10" t="s">
        <v>2121</v>
      </c>
      <c r="C851" s="11" t="s">
        <v>131</v>
      </c>
      <c r="D851" s="10" t="s">
        <v>2134</v>
      </c>
      <c r="E851" s="38">
        <v>36</v>
      </c>
      <c r="F851" s="38" t="s">
        <v>734</v>
      </c>
      <c r="G851" s="38"/>
      <c r="H851" s="38" t="s">
        <v>2164</v>
      </c>
      <c r="I851" s="38" t="s">
        <v>2124</v>
      </c>
      <c r="J851" s="38"/>
      <c r="K851" s="38"/>
      <c r="L851" s="38" t="s">
        <v>2165</v>
      </c>
      <c r="M851" s="38">
        <v>1</v>
      </c>
      <c r="N851" s="38"/>
      <c r="O851" s="10"/>
      <c r="P851" s="11"/>
    </row>
    <row r="852" spans="1:16" ht="15.75" thickBot="1">
      <c r="A852" s="6" t="s">
        <v>132</v>
      </c>
      <c r="B852" s="10" t="s">
        <v>133</v>
      </c>
      <c r="C852" s="11" t="s">
        <v>134</v>
      </c>
      <c r="D852" s="10"/>
      <c r="E852" s="38"/>
      <c r="F852" s="38"/>
      <c r="G852" s="38"/>
      <c r="H852" s="38" t="s">
        <v>2123</v>
      </c>
      <c r="I852" s="38" t="s">
        <v>2124</v>
      </c>
      <c r="J852" s="38"/>
      <c r="K852" s="38"/>
      <c r="L852" s="38" t="s">
        <v>2165</v>
      </c>
      <c r="M852" s="38">
        <v>1</v>
      </c>
      <c r="N852" s="38"/>
      <c r="O852" s="10"/>
      <c r="P852" s="25" t="str">
        <f>HYPERLINK("http://biade.itrust.de/biade/lpext.dll?f=id&amp;id=biadb%3Ar%3A491987&amp;t=main-h.htm","491987")</f>
        <v>491987</v>
      </c>
    </row>
    <row r="853" spans="1:16" ht="15.75" thickBot="1">
      <c r="A853" s="6" t="s">
        <v>135</v>
      </c>
      <c r="B853" s="10" t="s">
        <v>136</v>
      </c>
      <c r="C853" s="11" t="s">
        <v>137</v>
      </c>
      <c r="D853" s="10"/>
      <c r="E853" s="38"/>
      <c r="F853" s="38"/>
      <c r="G853" s="38"/>
      <c r="H853" s="38" t="s">
        <v>2123</v>
      </c>
      <c r="I853" s="38" t="s">
        <v>2124</v>
      </c>
      <c r="J853" s="38"/>
      <c r="K853" s="38"/>
      <c r="L853" s="38" t="s">
        <v>2165</v>
      </c>
      <c r="M853" s="38">
        <v>2</v>
      </c>
      <c r="N853" s="38"/>
      <c r="O853" s="10"/>
      <c r="P853" s="11"/>
    </row>
    <row r="854" spans="1:16" ht="15.75" thickBot="1">
      <c r="A854" s="6" t="s">
        <v>138</v>
      </c>
      <c r="B854" s="10" t="s">
        <v>1262</v>
      </c>
      <c r="C854" s="11" t="s">
        <v>139</v>
      </c>
      <c r="D854" s="10" t="s">
        <v>3961</v>
      </c>
      <c r="E854" s="38" t="s">
        <v>140</v>
      </c>
      <c r="F854" s="38" t="s">
        <v>141</v>
      </c>
      <c r="G854" s="38"/>
      <c r="H854" s="38" t="s">
        <v>2129</v>
      </c>
      <c r="I854" s="38" t="s">
        <v>2124</v>
      </c>
      <c r="J854" s="38"/>
      <c r="K854" s="38"/>
      <c r="L854" s="38" t="s">
        <v>2165</v>
      </c>
      <c r="M854" s="38">
        <v>1</v>
      </c>
      <c r="N854" s="38"/>
      <c r="O854" s="10"/>
      <c r="P854" s="25" t="str">
        <f>HYPERLINK("http://biade.itrust.de/biade/lpext.dll?f=id&amp;id=biadb%3Ar%3A031030&amp;t=main-h.htm","31030")</f>
        <v>31030</v>
      </c>
    </row>
    <row r="855" spans="1:16" ht="15.75" thickBot="1">
      <c r="A855" s="6" t="s">
        <v>142</v>
      </c>
      <c r="B855" s="10" t="s">
        <v>143</v>
      </c>
      <c r="C855" s="11" t="s">
        <v>144</v>
      </c>
      <c r="D855" s="10"/>
      <c r="E855" s="38"/>
      <c r="F855" s="38"/>
      <c r="G855" s="38"/>
      <c r="H855" s="38" t="s">
        <v>2123</v>
      </c>
      <c r="I855" s="38" t="s">
        <v>2124</v>
      </c>
      <c r="J855" s="38"/>
      <c r="K855" s="38"/>
      <c r="L855" s="38" t="s">
        <v>2165</v>
      </c>
      <c r="M855" s="38">
        <v>1</v>
      </c>
      <c r="N855" s="38"/>
      <c r="O855" s="10"/>
      <c r="P855" s="11"/>
    </row>
    <row r="856" spans="1:16" ht="15.75" thickBot="1">
      <c r="A856" s="6" t="s">
        <v>145</v>
      </c>
      <c r="B856" s="10"/>
      <c r="C856" s="11" t="s">
        <v>146</v>
      </c>
      <c r="D856" s="10" t="s">
        <v>3961</v>
      </c>
      <c r="E856" s="38" t="s">
        <v>147</v>
      </c>
      <c r="F856" s="38" t="s">
        <v>148</v>
      </c>
      <c r="G856" s="38"/>
      <c r="H856" s="38" t="s">
        <v>2164</v>
      </c>
      <c r="I856" s="38" t="s">
        <v>2124</v>
      </c>
      <c r="J856" s="38"/>
      <c r="K856" s="38"/>
      <c r="L856" s="38" t="s">
        <v>2210</v>
      </c>
      <c r="M856" s="38">
        <v>1</v>
      </c>
      <c r="N856" s="38" t="s">
        <v>2144</v>
      </c>
      <c r="O856" s="10"/>
      <c r="P856" s="25" t="str">
        <f>HYPERLINK("http://biade.itrust.de/biade/lpext.dll?f=id&amp;id=biadb%3Ar%3A001010&amp;t=main-h.htm","1010")</f>
        <v>1010</v>
      </c>
    </row>
    <row r="857" spans="1:16" ht="15.75" thickBot="1">
      <c r="A857" s="6" t="s">
        <v>149</v>
      </c>
      <c r="B857" s="10" t="s">
        <v>2121</v>
      </c>
      <c r="C857" s="11" t="s">
        <v>150</v>
      </c>
      <c r="D857" s="10" t="s">
        <v>2134</v>
      </c>
      <c r="E857" s="38" t="s">
        <v>2162</v>
      </c>
      <c r="F857" s="38"/>
      <c r="G857" s="38"/>
      <c r="H857" s="38" t="s">
        <v>2164</v>
      </c>
      <c r="I857" s="38" t="s">
        <v>2124</v>
      </c>
      <c r="J857" s="38"/>
      <c r="K857" s="38"/>
      <c r="L857" s="38" t="s">
        <v>2194</v>
      </c>
      <c r="M857" s="38">
        <v>2</v>
      </c>
      <c r="N857" s="38"/>
      <c r="O857" s="10"/>
      <c r="P857" s="11"/>
    </row>
    <row r="858" spans="1:16" ht="15.75" thickBot="1">
      <c r="A858" s="6" t="s">
        <v>151</v>
      </c>
      <c r="B858" s="10" t="s">
        <v>2121</v>
      </c>
      <c r="C858" s="11" t="s">
        <v>152</v>
      </c>
      <c r="D858" s="10" t="s">
        <v>2227</v>
      </c>
      <c r="E858" s="38" t="s">
        <v>2461</v>
      </c>
      <c r="F858" s="38" t="s">
        <v>3884</v>
      </c>
      <c r="G858" s="38"/>
      <c r="H858" s="38" t="s">
        <v>2164</v>
      </c>
      <c r="I858" s="38" t="s">
        <v>2124</v>
      </c>
      <c r="J858" s="38"/>
      <c r="K858" s="38"/>
      <c r="L858" s="38" t="s">
        <v>2136</v>
      </c>
      <c r="M858" s="38">
        <v>1</v>
      </c>
      <c r="N858" s="38" t="s">
        <v>3792</v>
      </c>
      <c r="O858" s="10"/>
      <c r="P858" s="11"/>
    </row>
    <row r="859" spans="1:16" ht="15.75" thickBot="1">
      <c r="A859" s="6" t="s">
        <v>153</v>
      </c>
      <c r="B859" s="10" t="s">
        <v>2121</v>
      </c>
      <c r="C859" s="11" t="s">
        <v>154</v>
      </c>
      <c r="D859" s="10" t="s">
        <v>2128</v>
      </c>
      <c r="E859" s="38" t="s">
        <v>2937</v>
      </c>
      <c r="F859" s="38"/>
      <c r="G859" s="38"/>
      <c r="H859" s="38" t="s">
        <v>2129</v>
      </c>
      <c r="I859" s="38" t="s">
        <v>2124</v>
      </c>
      <c r="J859" s="38"/>
      <c r="K859" s="38" t="s">
        <v>2503</v>
      </c>
      <c r="L859" s="38" t="s">
        <v>2194</v>
      </c>
      <c r="M859" s="38">
        <v>2</v>
      </c>
      <c r="N859" s="38"/>
      <c r="O859" s="10"/>
      <c r="P859" s="25" t="str">
        <f>HYPERLINK("http://biade.itrust.de/biade/lpext.dll?f=id&amp;id=biadb%3Ar%3A493235&amp;t=main-h.htm","493235")</f>
        <v>493235</v>
      </c>
    </row>
    <row r="860" spans="1:16" ht="15.75" thickBot="1">
      <c r="A860" s="6" t="s">
        <v>155</v>
      </c>
      <c r="B860" s="10" t="s">
        <v>156</v>
      </c>
      <c r="C860" s="11" t="s">
        <v>157</v>
      </c>
      <c r="D860" s="10" t="s">
        <v>2227</v>
      </c>
      <c r="E860" s="38" t="s">
        <v>2461</v>
      </c>
      <c r="F860" s="38" t="s">
        <v>3884</v>
      </c>
      <c r="G860" s="38"/>
      <c r="H860" s="38" t="s">
        <v>2164</v>
      </c>
      <c r="I860" s="38" t="s">
        <v>2124</v>
      </c>
      <c r="J860" s="38"/>
      <c r="K860" s="38"/>
      <c r="L860" s="38" t="s">
        <v>2136</v>
      </c>
      <c r="M860" s="38">
        <v>1</v>
      </c>
      <c r="N860" s="38" t="s">
        <v>3792</v>
      </c>
      <c r="O860" s="10"/>
      <c r="P860" s="25" t="str">
        <f>HYPERLINK("http://biade.itrust.de/biade/lpext.dll?f=id&amp;id=biadb%3Ar%3A004930&amp;t=main-h.htm","4930")</f>
        <v>4930</v>
      </c>
    </row>
    <row r="861" spans="1:16" ht="15.75" thickBot="1">
      <c r="A861" s="6" t="s">
        <v>158</v>
      </c>
      <c r="B861" s="10" t="s">
        <v>159</v>
      </c>
      <c r="C861" s="11" t="s">
        <v>160</v>
      </c>
      <c r="D861" s="10" t="s">
        <v>2134</v>
      </c>
      <c r="E861" s="38" t="s">
        <v>161</v>
      </c>
      <c r="F861" s="38" t="s">
        <v>162</v>
      </c>
      <c r="G861" s="38"/>
      <c r="H861" s="38" t="s">
        <v>2164</v>
      </c>
      <c r="I861" s="38" t="s">
        <v>2124</v>
      </c>
      <c r="J861" s="38"/>
      <c r="K861" s="38" t="s">
        <v>2188</v>
      </c>
      <c r="L861" s="38" t="s">
        <v>2194</v>
      </c>
      <c r="M861" s="38">
        <v>2</v>
      </c>
      <c r="N861" s="38"/>
      <c r="O861" s="10"/>
      <c r="P861" s="25" t="str">
        <f>HYPERLINK("http://biade.itrust.de/biade/lpext.dll?f=id&amp;id=biadb%3Ar%3A492385&amp;t=main-h.htm","492385")</f>
        <v>492385</v>
      </c>
    </row>
    <row r="862" spans="1:16" ht="15.75" thickBot="1">
      <c r="A862" s="6" t="s">
        <v>163</v>
      </c>
      <c r="B862" s="10"/>
      <c r="C862" s="11" t="s">
        <v>164</v>
      </c>
      <c r="D862" s="10" t="s">
        <v>2513</v>
      </c>
      <c r="E862" s="38" t="s">
        <v>165</v>
      </c>
      <c r="F862" s="38" t="s">
        <v>166</v>
      </c>
      <c r="G862" s="38"/>
      <c r="H862" s="38" t="s">
        <v>1245</v>
      </c>
      <c r="I862" s="38" t="s">
        <v>2124</v>
      </c>
      <c r="J862" s="38"/>
      <c r="K862" s="38" t="s">
        <v>2189</v>
      </c>
      <c r="L862" s="38" t="s">
        <v>2194</v>
      </c>
      <c r="M862" s="38">
        <v>2</v>
      </c>
      <c r="N862" s="38"/>
      <c r="O862" s="10"/>
      <c r="P862" s="25" t="str">
        <f>HYPERLINK("http://biade.itrust.de/biade/lpext.dll?f=id&amp;id=biadb%3Ar%3A510268&amp;t=main-h.htm","510268")</f>
        <v>510268</v>
      </c>
    </row>
    <row r="863" spans="1:16" ht="15.75" thickBot="1">
      <c r="A863" s="6" t="s">
        <v>2743</v>
      </c>
      <c r="B863" s="10" t="s">
        <v>2744</v>
      </c>
      <c r="C863" s="11"/>
      <c r="D863" s="10"/>
      <c r="E863" s="38"/>
      <c r="F863" s="38"/>
      <c r="G863" s="38"/>
      <c r="H863" s="38" t="s">
        <v>2123</v>
      </c>
      <c r="I863" s="38" t="s">
        <v>2124</v>
      </c>
      <c r="J863" s="38"/>
      <c r="K863" s="38"/>
      <c r="L863" s="38" t="s">
        <v>2125</v>
      </c>
      <c r="M863" s="38">
        <v>1</v>
      </c>
      <c r="N863" s="38"/>
      <c r="O863" s="10"/>
      <c r="P863" s="11"/>
    </row>
    <row r="864" spans="1:16" ht="15.75" thickBot="1">
      <c r="A864" s="6" t="s">
        <v>2745</v>
      </c>
      <c r="B864" s="10" t="s">
        <v>2746</v>
      </c>
      <c r="C864" s="11" t="s">
        <v>2747</v>
      </c>
      <c r="D864" s="10" t="s">
        <v>1229</v>
      </c>
      <c r="E864" s="38" t="s">
        <v>2748</v>
      </c>
      <c r="F864" s="38" t="s">
        <v>3100</v>
      </c>
      <c r="G864" s="38" t="s">
        <v>4074</v>
      </c>
      <c r="H864" s="38" t="s">
        <v>3220</v>
      </c>
      <c r="I864" s="38" t="s">
        <v>2124</v>
      </c>
      <c r="J864" s="38"/>
      <c r="K864" s="38" t="s">
        <v>2189</v>
      </c>
      <c r="L864" s="38" t="s">
        <v>2194</v>
      </c>
      <c r="M864" s="38">
        <v>2</v>
      </c>
      <c r="N864" s="38" t="s">
        <v>168</v>
      </c>
      <c r="O864" s="10"/>
      <c r="P864" s="25" t="str">
        <f>HYPERLINK("http://biade.itrust.de/biade/lpext.dll?f=id&amp;id=biadb%3Ar%3A028110&amp;t=main-h.htm","28110")</f>
        <v>28110</v>
      </c>
    </row>
    <row r="865" spans="1:16" ht="26.25" thickBot="1">
      <c r="A865" s="6" t="s">
        <v>2749</v>
      </c>
      <c r="B865" s="10" t="s">
        <v>2750</v>
      </c>
      <c r="C865" s="11" t="s">
        <v>190</v>
      </c>
      <c r="D865" s="10" t="s">
        <v>2128</v>
      </c>
      <c r="E865" s="38" t="s">
        <v>191</v>
      </c>
      <c r="F865" s="38" t="s">
        <v>3987</v>
      </c>
      <c r="G865" s="38"/>
      <c r="H865" s="38" t="s">
        <v>2164</v>
      </c>
      <c r="I865" s="38" t="s">
        <v>2124</v>
      </c>
      <c r="J865" s="38"/>
      <c r="K865" s="38"/>
      <c r="L865" s="38" t="s">
        <v>2194</v>
      </c>
      <c r="M865" s="38"/>
      <c r="N865" s="38" t="s">
        <v>2144</v>
      </c>
      <c r="O865" s="10"/>
      <c r="P865" s="25" t="str">
        <f>HYPERLINK("http://biade.itrust.de/biade/lpext.dll?f=id&amp;id=biadb%3Ar%3A491168&amp;t=main-h.htm","491168")</f>
        <v>491168</v>
      </c>
    </row>
    <row r="866" spans="1:16" ht="15.75" thickBot="1">
      <c r="A866" s="6" t="s">
        <v>192</v>
      </c>
      <c r="B866" s="10" t="s">
        <v>1907</v>
      </c>
      <c r="C866" s="11" t="s">
        <v>193</v>
      </c>
      <c r="D866" s="10" t="s">
        <v>194</v>
      </c>
      <c r="E866" s="38" t="s">
        <v>195</v>
      </c>
      <c r="F866" s="38" t="s">
        <v>196</v>
      </c>
      <c r="G866" s="38"/>
      <c r="H866" s="38" t="s">
        <v>2164</v>
      </c>
      <c r="I866" s="38" t="s">
        <v>2124</v>
      </c>
      <c r="J866" s="38"/>
      <c r="K866" s="38"/>
      <c r="L866" s="38" t="s">
        <v>2216</v>
      </c>
      <c r="M866" s="38">
        <v>3</v>
      </c>
      <c r="N866" s="38"/>
      <c r="O866" s="10"/>
      <c r="P866" s="11"/>
    </row>
    <row r="867" spans="1:16" ht="15.75" thickBot="1">
      <c r="A867" s="6" t="s">
        <v>197</v>
      </c>
      <c r="B867" s="10" t="s">
        <v>3971</v>
      </c>
      <c r="C867" s="11" t="s">
        <v>198</v>
      </c>
      <c r="D867" s="10" t="s">
        <v>2227</v>
      </c>
      <c r="E867" s="38">
        <v>35</v>
      </c>
      <c r="F867" s="38" t="s">
        <v>3791</v>
      </c>
      <c r="G867" s="38"/>
      <c r="H867" s="38" t="s">
        <v>3220</v>
      </c>
      <c r="I867" s="38" t="s">
        <v>2124</v>
      </c>
      <c r="J867" s="38"/>
      <c r="K867" s="38" t="s">
        <v>2187</v>
      </c>
      <c r="L867" s="38" t="s">
        <v>2202</v>
      </c>
      <c r="M867" s="38">
        <v>1</v>
      </c>
      <c r="N867" s="38" t="s">
        <v>199</v>
      </c>
      <c r="O867" s="10"/>
      <c r="P867" s="25" t="str">
        <f>HYPERLINK("http://biade.itrust.de/biade/lpext.dll?f=id&amp;id=biadb%3Ar%3A001070&amp;t=main-h.htm","1070")</f>
        <v>1070</v>
      </c>
    </row>
    <row r="868" spans="1:16" ht="25.5" customHeight="1">
      <c r="A868" s="5" t="s">
        <v>966</v>
      </c>
      <c r="B868" s="49" t="s">
        <v>2121</v>
      </c>
      <c r="C868" s="51" t="s">
        <v>198</v>
      </c>
      <c r="D868" s="49" t="s">
        <v>2227</v>
      </c>
      <c r="E868" s="47">
        <v>34</v>
      </c>
      <c r="F868" s="47" t="s">
        <v>3884</v>
      </c>
      <c r="G868" s="47"/>
      <c r="H868" s="47" t="s">
        <v>2164</v>
      </c>
      <c r="I868" s="47" t="s">
        <v>2124</v>
      </c>
      <c r="J868" s="47"/>
      <c r="K868" s="47"/>
      <c r="L868" s="47" t="s">
        <v>2136</v>
      </c>
      <c r="M868" s="47">
        <v>1</v>
      </c>
      <c r="N868" s="47"/>
      <c r="O868" s="49"/>
      <c r="P868" s="51"/>
    </row>
    <row r="869" spans="1:16" ht="15.75" thickBot="1">
      <c r="A869" s="6" t="s">
        <v>200</v>
      </c>
      <c r="B869" s="50"/>
      <c r="C869" s="52"/>
      <c r="D869" s="50"/>
      <c r="E869" s="48"/>
      <c r="F869" s="48"/>
      <c r="G869" s="48"/>
      <c r="H869" s="48"/>
      <c r="I869" s="48"/>
      <c r="J869" s="48"/>
      <c r="K869" s="48"/>
      <c r="L869" s="48"/>
      <c r="M869" s="48"/>
      <c r="N869" s="48"/>
      <c r="O869" s="50"/>
      <c r="P869" s="52"/>
    </row>
    <row r="870" spans="1:16" ht="15">
      <c r="A870" s="49" t="s">
        <v>201</v>
      </c>
      <c r="B870" s="7" t="s">
        <v>1098</v>
      </c>
      <c r="C870" s="51" t="s">
        <v>202</v>
      </c>
      <c r="D870" s="49" t="s">
        <v>3859</v>
      </c>
      <c r="E870" s="47" t="s">
        <v>2537</v>
      </c>
      <c r="F870" s="47" t="s">
        <v>2538</v>
      </c>
      <c r="G870" s="47"/>
      <c r="H870" s="47" t="s">
        <v>2129</v>
      </c>
      <c r="I870" s="47" t="s">
        <v>2124</v>
      </c>
      <c r="J870" s="47"/>
      <c r="K870" s="47" t="s">
        <v>2533</v>
      </c>
      <c r="L870" s="47" t="s">
        <v>2130</v>
      </c>
      <c r="M870" s="47">
        <v>1</v>
      </c>
      <c r="N870" s="47"/>
      <c r="O870" s="49"/>
      <c r="P870" s="51"/>
    </row>
    <row r="871" spans="1:16" ht="15.75" thickBot="1">
      <c r="A871" s="50"/>
      <c r="B871" s="10" t="s">
        <v>1262</v>
      </c>
      <c r="C871" s="52"/>
      <c r="D871" s="50"/>
      <c r="E871" s="48"/>
      <c r="F871" s="48"/>
      <c r="G871" s="48"/>
      <c r="H871" s="48"/>
      <c r="I871" s="48"/>
      <c r="J871" s="48"/>
      <c r="K871" s="48"/>
      <c r="L871" s="48"/>
      <c r="M871" s="48"/>
      <c r="N871" s="48"/>
      <c r="O871" s="50"/>
      <c r="P871" s="52"/>
    </row>
    <row r="872" spans="1:16" ht="15">
      <c r="A872" s="49" t="s">
        <v>203</v>
      </c>
      <c r="B872" s="49" t="s">
        <v>204</v>
      </c>
      <c r="C872" s="51" t="s">
        <v>205</v>
      </c>
      <c r="D872" s="49"/>
      <c r="E872" s="47" t="s">
        <v>206</v>
      </c>
      <c r="F872" s="47" t="s">
        <v>207</v>
      </c>
      <c r="G872" s="47"/>
      <c r="H872" s="47" t="s">
        <v>502</v>
      </c>
      <c r="I872" s="39">
        <v>270</v>
      </c>
      <c r="J872" s="47">
        <v>1</v>
      </c>
      <c r="K872" s="47" t="s">
        <v>2533</v>
      </c>
      <c r="L872" s="47" t="s">
        <v>2130</v>
      </c>
      <c r="M872" s="47">
        <v>1</v>
      </c>
      <c r="N872" s="47"/>
      <c r="O872" s="49"/>
      <c r="P872" s="51"/>
    </row>
    <row r="873" spans="1:16" ht="15.75" thickBot="1">
      <c r="A873" s="50"/>
      <c r="B873" s="50"/>
      <c r="C873" s="52"/>
      <c r="D873" s="50"/>
      <c r="E873" s="48"/>
      <c r="F873" s="48"/>
      <c r="G873" s="48"/>
      <c r="H873" s="48"/>
      <c r="I873" s="38">
        <v>50</v>
      </c>
      <c r="J873" s="48"/>
      <c r="K873" s="48"/>
      <c r="L873" s="48"/>
      <c r="M873" s="48"/>
      <c r="N873" s="48"/>
      <c r="O873" s="50"/>
      <c r="P873" s="52"/>
    </row>
    <row r="874" spans="1:16" ht="15.75" thickBot="1">
      <c r="A874" s="6" t="s">
        <v>208</v>
      </c>
      <c r="B874" s="10" t="s">
        <v>1097</v>
      </c>
      <c r="C874" s="11" t="s">
        <v>209</v>
      </c>
      <c r="D874" s="10" t="s">
        <v>3771</v>
      </c>
      <c r="E874" s="38" t="s">
        <v>3772</v>
      </c>
      <c r="F874" s="38" t="s">
        <v>210</v>
      </c>
      <c r="G874" s="38"/>
      <c r="H874" s="38" t="s">
        <v>2129</v>
      </c>
      <c r="I874" s="38" t="s">
        <v>2124</v>
      </c>
      <c r="J874" s="38"/>
      <c r="K874" s="38" t="s">
        <v>2533</v>
      </c>
      <c r="L874" s="38" t="s">
        <v>2130</v>
      </c>
      <c r="M874" s="38">
        <v>1</v>
      </c>
      <c r="N874" s="38"/>
      <c r="O874" s="10"/>
      <c r="P874" s="25" t="str">
        <f>HYPERLINK("http://biade.itrust.de/biade/lpext.dll?f=id&amp;id=biadb%3Ar%3A033750&amp;t=main-h.htm","33750")</f>
        <v>33750</v>
      </c>
    </row>
    <row r="875" spans="1:16" ht="15.75" thickBot="1">
      <c r="A875" s="6" t="s">
        <v>211</v>
      </c>
      <c r="B875" s="10"/>
      <c r="C875" s="11" t="s">
        <v>212</v>
      </c>
      <c r="D875" s="10" t="s">
        <v>2227</v>
      </c>
      <c r="E875" s="38" t="s">
        <v>213</v>
      </c>
      <c r="F875" s="38" t="s">
        <v>3884</v>
      </c>
      <c r="G875" s="38"/>
      <c r="H875" s="38" t="s">
        <v>3220</v>
      </c>
      <c r="I875" s="38" t="s">
        <v>2124</v>
      </c>
      <c r="J875" s="38"/>
      <c r="K875" s="38"/>
      <c r="L875" s="38" t="s">
        <v>2136</v>
      </c>
      <c r="M875" s="38">
        <v>1</v>
      </c>
      <c r="N875" s="38" t="s">
        <v>214</v>
      </c>
      <c r="O875" s="10"/>
      <c r="P875" s="25" t="str">
        <f>HYPERLINK("http://biade.itrust.de/biade/lpext.dll?f=id&amp;id=biadb%3Ar%3A001420&amp;t=main-h.htm","1420")</f>
        <v>1420</v>
      </c>
    </row>
    <row r="876" spans="1:16" ht="15.75" thickBot="1">
      <c r="A876" s="6" t="s">
        <v>215</v>
      </c>
      <c r="B876" s="10" t="s">
        <v>216</v>
      </c>
      <c r="C876" s="11" t="s">
        <v>217</v>
      </c>
      <c r="D876" s="10" t="s">
        <v>3795</v>
      </c>
      <c r="E876" s="38" t="s">
        <v>218</v>
      </c>
      <c r="F876" s="38" t="s">
        <v>219</v>
      </c>
      <c r="G876" s="38"/>
      <c r="H876" s="38" t="s">
        <v>220</v>
      </c>
      <c r="I876" s="38" t="s">
        <v>2124</v>
      </c>
      <c r="J876" s="38"/>
      <c r="K876" s="38" t="s">
        <v>2157</v>
      </c>
      <c r="L876" s="38" t="s">
        <v>2207</v>
      </c>
      <c r="M876" s="38">
        <v>2</v>
      </c>
      <c r="N876" s="38"/>
      <c r="O876" s="10"/>
      <c r="P876" s="25" t="str">
        <f>HYPERLINK("http://biade.itrust.de/biade/lpext.dll?f=id&amp;id=biadb%3Ar%3A008150&amp;t=main-h.htm","8150")</f>
        <v>8150</v>
      </c>
    </row>
    <row r="877" spans="1:16" ht="15.75" thickBot="1">
      <c r="A877" s="6" t="s">
        <v>221</v>
      </c>
      <c r="B877" s="10" t="s">
        <v>2121</v>
      </c>
      <c r="C877" s="11" t="s">
        <v>222</v>
      </c>
      <c r="D877" s="10"/>
      <c r="E877" s="38"/>
      <c r="F877" s="38"/>
      <c r="G877" s="38"/>
      <c r="H877" s="38" t="s">
        <v>2123</v>
      </c>
      <c r="I877" s="38" t="s">
        <v>2124</v>
      </c>
      <c r="J877" s="38"/>
      <c r="K877" s="38"/>
      <c r="L877" s="38" t="s">
        <v>2136</v>
      </c>
      <c r="M877" s="38">
        <v>1</v>
      </c>
      <c r="N877" s="38"/>
      <c r="O877" s="10"/>
      <c r="P877" s="25" t="str">
        <f>HYPERLINK("http://biade.itrust.de/biade/lpext.dll?f=id&amp;id=biadb%3Ar%3A024010&amp;t=main-h.htm","24010")</f>
        <v>24010</v>
      </c>
    </row>
    <row r="878" spans="1:16" ht="25.5" customHeight="1">
      <c r="A878" s="5" t="s">
        <v>223</v>
      </c>
      <c r="B878" s="7" t="s">
        <v>225</v>
      </c>
      <c r="C878" s="51" t="s">
        <v>226</v>
      </c>
      <c r="D878" s="49"/>
      <c r="E878" s="47"/>
      <c r="F878" s="47"/>
      <c r="G878" s="47"/>
      <c r="H878" s="47" t="s">
        <v>2123</v>
      </c>
      <c r="I878" s="47" t="s">
        <v>2124</v>
      </c>
      <c r="J878" s="47"/>
      <c r="K878" s="47"/>
      <c r="L878" s="47" t="s">
        <v>2136</v>
      </c>
      <c r="M878" s="47">
        <v>1</v>
      </c>
      <c r="N878" s="47"/>
      <c r="O878" s="49"/>
      <c r="P878" s="51"/>
    </row>
    <row r="879" spans="1:16" ht="15.75" thickBot="1">
      <c r="A879" s="6" t="s">
        <v>224</v>
      </c>
      <c r="B879" s="10" t="s">
        <v>1262</v>
      </c>
      <c r="C879" s="52"/>
      <c r="D879" s="50"/>
      <c r="E879" s="48"/>
      <c r="F879" s="48"/>
      <c r="G879" s="48"/>
      <c r="H879" s="48"/>
      <c r="I879" s="48"/>
      <c r="J879" s="48"/>
      <c r="K879" s="48"/>
      <c r="L879" s="48"/>
      <c r="M879" s="48"/>
      <c r="N879" s="48"/>
      <c r="O879" s="50"/>
      <c r="P879" s="52"/>
    </row>
    <row r="880" spans="1:16" ht="15.75" thickBot="1">
      <c r="A880" s="29" t="s">
        <v>227</v>
      </c>
      <c r="B880" s="10" t="s">
        <v>228</v>
      </c>
      <c r="C880" s="11" t="s">
        <v>229</v>
      </c>
      <c r="D880" s="10" t="s">
        <v>3961</v>
      </c>
      <c r="E880" s="38" t="s">
        <v>3962</v>
      </c>
      <c r="F880" s="38">
        <v>61</v>
      </c>
      <c r="G880" s="38"/>
      <c r="H880" s="38" t="s">
        <v>230</v>
      </c>
      <c r="I880" s="38" t="s">
        <v>2124</v>
      </c>
      <c r="J880" s="38"/>
      <c r="K880" s="38"/>
      <c r="L880" s="38" t="s">
        <v>2165</v>
      </c>
      <c r="M880" s="38">
        <v>3</v>
      </c>
      <c r="N880" s="38" t="s">
        <v>231</v>
      </c>
      <c r="O880" s="10"/>
      <c r="P880" s="25" t="str">
        <f>HYPERLINK("http://biade.itrust.de/biade/lpext.dll?f=id&amp;id=biadb%3Ar%3A510271&amp;t=main-h.htm","510271")</f>
        <v>510271</v>
      </c>
    </row>
    <row r="881" spans="1:16" ht="15.75" thickBot="1">
      <c r="A881" s="6" t="s">
        <v>232</v>
      </c>
      <c r="B881" s="10"/>
      <c r="C881" s="11" t="s">
        <v>233</v>
      </c>
      <c r="D881" s="10" t="s">
        <v>234</v>
      </c>
      <c r="E881" s="38" t="s">
        <v>235</v>
      </c>
      <c r="F881" s="38" t="s">
        <v>1231</v>
      </c>
      <c r="G881" s="38" t="s">
        <v>236</v>
      </c>
      <c r="H881" s="38" t="s">
        <v>2156</v>
      </c>
      <c r="I881" s="38" t="s">
        <v>2124</v>
      </c>
      <c r="J881" s="38"/>
      <c r="K881" s="38" t="s">
        <v>2157</v>
      </c>
      <c r="L881" s="38" t="s">
        <v>2216</v>
      </c>
      <c r="M881" s="38">
        <v>3</v>
      </c>
      <c r="N881" s="38" t="s">
        <v>237</v>
      </c>
      <c r="O881" s="10"/>
      <c r="P881" s="25" t="str">
        <f>HYPERLINK("http://biade.itrust.de/biade/lpext.dll?f=id&amp;id=biadb%3Ar%3A500033&amp;t=main-h.htm","500033")</f>
        <v>500033</v>
      </c>
    </row>
    <row r="882" spans="1:16" ht="15.75" thickBot="1">
      <c r="A882" s="6" t="s">
        <v>238</v>
      </c>
      <c r="B882" s="10" t="s">
        <v>2121</v>
      </c>
      <c r="C882" s="11" t="s">
        <v>239</v>
      </c>
      <c r="D882" s="10"/>
      <c r="E882" s="38"/>
      <c r="F882" s="38"/>
      <c r="G882" s="38"/>
      <c r="H882" s="38" t="s">
        <v>2123</v>
      </c>
      <c r="I882" s="38" t="s">
        <v>2124</v>
      </c>
      <c r="J882" s="38"/>
      <c r="K882" s="38"/>
      <c r="L882" s="38" t="s">
        <v>2136</v>
      </c>
      <c r="M882" s="38">
        <v>1</v>
      </c>
      <c r="N882" s="38"/>
      <c r="O882" s="10"/>
      <c r="P882" s="11"/>
    </row>
    <row r="883" spans="1:16" ht="15">
      <c r="A883" s="49" t="s">
        <v>240</v>
      </c>
      <c r="B883" s="7" t="s">
        <v>241</v>
      </c>
      <c r="C883" s="51" t="s">
        <v>242</v>
      </c>
      <c r="D883" s="49" t="s">
        <v>2134</v>
      </c>
      <c r="E883" s="47" t="s">
        <v>2162</v>
      </c>
      <c r="F883" s="47" t="s">
        <v>2908</v>
      </c>
      <c r="G883" s="47"/>
      <c r="H883" s="47" t="s">
        <v>2164</v>
      </c>
      <c r="I883" s="47" t="s">
        <v>2124</v>
      </c>
      <c r="J883" s="47"/>
      <c r="K883" s="47"/>
      <c r="L883" s="47" t="s">
        <v>2136</v>
      </c>
      <c r="M883" s="47">
        <v>1</v>
      </c>
      <c r="N883" s="47" t="s">
        <v>3017</v>
      </c>
      <c r="O883" s="49"/>
      <c r="P883" s="51"/>
    </row>
    <row r="884" spans="1:16" ht="15.75" thickBot="1">
      <c r="A884" s="50"/>
      <c r="B884" s="10" t="s">
        <v>1262</v>
      </c>
      <c r="C884" s="52"/>
      <c r="D884" s="50"/>
      <c r="E884" s="48"/>
      <c r="F884" s="48"/>
      <c r="G884" s="48"/>
      <c r="H884" s="48"/>
      <c r="I884" s="48"/>
      <c r="J884" s="48"/>
      <c r="K884" s="48"/>
      <c r="L884" s="48"/>
      <c r="M884" s="48"/>
      <c r="N884" s="48"/>
      <c r="O884" s="50"/>
      <c r="P884" s="52"/>
    </row>
    <row r="885" spans="1:16" ht="15.75" thickBot="1">
      <c r="A885" s="6" t="s">
        <v>2218</v>
      </c>
      <c r="B885" s="10"/>
      <c r="C885" s="11" t="s">
        <v>243</v>
      </c>
      <c r="D885" s="10" t="s">
        <v>244</v>
      </c>
      <c r="E885" s="38" t="s">
        <v>245</v>
      </c>
      <c r="F885" s="38" t="s">
        <v>246</v>
      </c>
      <c r="G885" s="38"/>
      <c r="H885" s="38" t="s">
        <v>247</v>
      </c>
      <c r="I885" s="38" t="s">
        <v>2124</v>
      </c>
      <c r="J885" s="38"/>
      <c r="K885" s="38" t="s">
        <v>2157</v>
      </c>
      <c r="L885" s="38" t="s">
        <v>2217</v>
      </c>
      <c r="M885" s="38">
        <v>2</v>
      </c>
      <c r="N885" s="38" t="s">
        <v>2144</v>
      </c>
      <c r="O885" s="10"/>
      <c r="P885" s="25" t="str">
        <f>HYPERLINK("http://biade.itrust.de/biade/lpext.dll?f=id&amp;id=biadb%3Ar%3A002060&amp;t=main-h.htm","2060")</f>
        <v>2060</v>
      </c>
    </row>
    <row r="886" spans="1:16" ht="15.75" thickBot="1">
      <c r="A886" s="6" t="s">
        <v>248</v>
      </c>
      <c r="B886" s="10" t="s">
        <v>2121</v>
      </c>
      <c r="C886" s="11" t="s">
        <v>249</v>
      </c>
      <c r="D886" s="10"/>
      <c r="E886" s="38"/>
      <c r="F886" s="38"/>
      <c r="G886" s="38"/>
      <c r="H886" s="38" t="s">
        <v>2123</v>
      </c>
      <c r="I886" s="38" t="s">
        <v>2124</v>
      </c>
      <c r="J886" s="38"/>
      <c r="K886" s="38"/>
      <c r="L886" s="38" t="s">
        <v>2136</v>
      </c>
      <c r="M886" s="38">
        <v>1</v>
      </c>
      <c r="N886" s="38"/>
      <c r="O886" s="10"/>
      <c r="P886" s="25" t="str">
        <f>HYPERLINK("http://biade.itrust.de/biade/lpext.dll?f=id&amp;id=biadb%3Ar%3A002200&amp;t=main-h.htm","2200")</f>
        <v>2200</v>
      </c>
    </row>
    <row r="887" spans="1:16" ht="15">
      <c r="A887" s="49" t="s">
        <v>250</v>
      </c>
      <c r="B887" s="7" t="s">
        <v>251</v>
      </c>
      <c r="C887" s="51" t="s">
        <v>253</v>
      </c>
      <c r="D887" s="49"/>
      <c r="E887" s="47"/>
      <c r="F887" s="47"/>
      <c r="G887" s="47"/>
      <c r="H887" s="47" t="s">
        <v>2123</v>
      </c>
      <c r="I887" s="39">
        <v>2</v>
      </c>
      <c r="J887" s="47"/>
      <c r="K887" s="47"/>
      <c r="L887" s="47" t="s">
        <v>2136</v>
      </c>
      <c r="M887" s="47">
        <v>2</v>
      </c>
      <c r="N887" s="47"/>
      <c r="O887" s="49"/>
      <c r="P887" s="51"/>
    </row>
    <row r="888" spans="1:16" ht="15.75" thickBot="1">
      <c r="A888" s="50"/>
      <c r="B888" s="10" t="s">
        <v>252</v>
      </c>
      <c r="C888" s="52"/>
      <c r="D888" s="50"/>
      <c r="E888" s="48"/>
      <c r="F888" s="48"/>
      <c r="G888" s="48"/>
      <c r="H888" s="48"/>
      <c r="I888" s="38" t="s">
        <v>2124</v>
      </c>
      <c r="J888" s="48"/>
      <c r="K888" s="48"/>
      <c r="L888" s="48"/>
      <c r="M888" s="48"/>
      <c r="N888" s="48"/>
      <c r="O888" s="50"/>
      <c r="P888" s="52"/>
    </row>
    <row r="889" spans="1:16" ht="15.75" thickBot="1">
      <c r="A889" s="6" t="s">
        <v>254</v>
      </c>
      <c r="B889" s="10"/>
      <c r="C889" s="11" t="s">
        <v>255</v>
      </c>
      <c r="D889" s="10" t="s">
        <v>2152</v>
      </c>
      <c r="E889" s="38" t="s">
        <v>256</v>
      </c>
      <c r="F889" s="38" t="s">
        <v>2154</v>
      </c>
      <c r="G889" s="38" t="s">
        <v>257</v>
      </c>
      <c r="H889" s="38" t="s">
        <v>2156</v>
      </c>
      <c r="I889" s="38" t="s">
        <v>2124</v>
      </c>
      <c r="J889" s="38"/>
      <c r="K889" s="38" t="s">
        <v>2157</v>
      </c>
      <c r="L889" s="38" t="s">
        <v>2158</v>
      </c>
      <c r="M889" s="38">
        <v>3</v>
      </c>
      <c r="N889" s="38" t="s">
        <v>258</v>
      </c>
      <c r="O889" s="10"/>
      <c r="P889" s="25" t="str">
        <f>HYPERLINK("http://biade.itrust.de/biade/lpext.dll?f=id&amp;id=biadb%3Ar%3A500034&amp;t=main-h.htm","500034")</f>
        <v>500034</v>
      </c>
    </row>
    <row r="890" spans="1:16" ht="15.75" thickBot="1">
      <c r="A890" s="6" t="s">
        <v>259</v>
      </c>
      <c r="B890" s="10"/>
      <c r="C890" s="11" t="s">
        <v>260</v>
      </c>
      <c r="D890" s="10" t="s">
        <v>2128</v>
      </c>
      <c r="E890" s="38">
        <v>22</v>
      </c>
      <c r="F890" s="38" t="s">
        <v>4026</v>
      </c>
      <c r="G890" s="38"/>
      <c r="H890" s="38" t="s">
        <v>2164</v>
      </c>
      <c r="I890" s="38" t="s">
        <v>2124</v>
      </c>
      <c r="J890" s="38"/>
      <c r="K890" s="38"/>
      <c r="L890" s="38" t="s">
        <v>2136</v>
      </c>
      <c r="M890" s="38">
        <v>1</v>
      </c>
      <c r="N890" s="38"/>
      <c r="O890" s="10"/>
      <c r="P890" s="25" t="str">
        <f>HYPERLINK("http://biade.itrust.de/biade/lpext.dll?f=id&amp;id=biadb%3Ar%3A004060&amp;t=main-h.htm","4060")</f>
        <v>4060</v>
      </c>
    </row>
    <row r="891" spans="1:16" ht="15.75" thickBot="1">
      <c r="A891" s="6" t="s">
        <v>261</v>
      </c>
      <c r="B891" s="10" t="s">
        <v>262</v>
      </c>
      <c r="C891" s="11" t="s">
        <v>263</v>
      </c>
      <c r="D891" s="10" t="s">
        <v>828</v>
      </c>
      <c r="E891" s="38" t="s">
        <v>264</v>
      </c>
      <c r="F891" s="38" t="s">
        <v>2585</v>
      </c>
      <c r="G891" s="38"/>
      <c r="H891" s="38" t="s">
        <v>1224</v>
      </c>
      <c r="I891" s="38" t="s">
        <v>2124</v>
      </c>
      <c r="J891" s="38"/>
      <c r="K891" s="38" t="s">
        <v>2157</v>
      </c>
      <c r="L891" s="38" t="s">
        <v>2208</v>
      </c>
      <c r="M891" s="38">
        <v>3</v>
      </c>
      <c r="N891" s="38"/>
      <c r="O891" s="10"/>
      <c r="P891" s="25" t="str">
        <f>HYPERLINK("http://biade.itrust.de/biade/lpext.dll?f=id&amp;id=biadb%3Ar%3A001970&amp;t=main-h.htm","1970")</f>
        <v>1970</v>
      </c>
    </row>
    <row r="892" spans="1:16" ht="32.25" thickBot="1">
      <c r="A892" s="6" t="s">
        <v>265</v>
      </c>
      <c r="B892" s="10"/>
      <c r="C892" s="11" t="s">
        <v>266</v>
      </c>
      <c r="D892" s="10" t="s">
        <v>2861</v>
      </c>
      <c r="E892" s="38" t="s">
        <v>267</v>
      </c>
      <c r="F892" s="38" t="s">
        <v>2154</v>
      </c>
      <c r="G892" s="38" t="s">
        <v>268</v>
      </c>
      <c r="H892" s="38" t="s">
        <v>2156</v>
      </c>
      <c r="I892" s="38" t="s">
        <v>2124</v>
      </c>
      <c r="J892" s="38"/>
      <c r="K892" s="38" t="s">
        <v>2157</v>
      </c>
      <c r="L892" s="38" t="s">
        <v>2158</v>
      </c>
      <c r="M892" s="38">
        <v>3</v>
      </c>
      <c r="N892" s="38"/>
      <c r="O892" s="10"/>
      <c r="P892" s="25" t="str">
        <f>HYPERLINK("http://biade.itrust.de/biade/lpext.dll?f=id&amp;id=biadb%3Ar%3A005280&amp;t=main-h.htm","5280")</f>
        <v>5280</v>
      </c>
    </row>
    <row r="893" spans="1:16" ht="15" customHeight="1">
      <c r="A893" s="49" t="s">
        <v>269</v>
      </c>
      <c r="B893" s="30" t="s">
        <v>270</v>
      </c>
      <c r="C893" s="51" t="s">
        <v>271</v>
      </c>
      <c r="D893" s="49" t="s">
        <v>272</v>
      </c>
      <c r="E893" s="47">
        <v>34</v>
      </c>
      <c r="F893" s="47" t="s">
        <v>3884</v>
      </c>
      <c r="G893" s="47"/>
      <c r="H893" s="47" t="s">
        <v>2164</v>
      </c>
      <c r="I893" s="47" t="s">
        <v>2124</v>
      </c>
      <c r="J893" s="47"/>
      <c r="K893" s="47"/>
      <c r="L893" s="47" t="s">
        <v>2125</v>
      </c>
      <c r="M893" s="47">
        <v>1</v>
      </c>
      <c r="N893" s="47"/>
      <c r="O893" s="49"/>
      <c r="P893" s="51"/>
    </row>
    <row r="894" spans="1:16" ht="15.75" thickBot="1">
      <c r="A894" s="50"/>
      <c r="B894" s="31" t="s">
        <v>1262</v>
      </c>
      <c r="C894" s="52"/>
      <c r="D894" s="50"/>
      <c r="E894" s="48"/>
      <c r="F894" s="48"/>
      <c r="G894" s="48"/>
      <c r="H894" s="48"/>
      <c r="I894" s="48"/>
      <c r="J894" s="48"/>
      <c r="K894" s="48"/>
      <c r="L894" s="48"/>
      <c r="M894" s="48"/>
      <c r="N894" s="48"/>
      <c r="O894" s="50"/>
      <c r="P894" s="52"/>
    </row>
    <row r="895" spans="1:16" ht="15.75" thickBot="1">
      <c r="A895" s="29" t="s">
        <v>273</v>
      </c>
      <c r="B895" s="10" t="s">
        <v>274</v>
      </c>
      <c r="C895" s="11" t="s">
        <v>275</v>
      </c>
      <c r="D895" s="10" t="s">
        <v>2134</v>
      </c>
      <c r="E895" s="38" t="s">
        <v>276</v>
      </c>
      <c r="F895" s="38" t="s">
        <v>277</v>
      </c>
      <c r="G895" s="38"/>
      <c r="H895" s="38" t="s">
        <v>2129</v>
      </c>
      <c r="I895" s="38" t="s">
        <v>2124</v>
      </c>
      <c r="J895" s="38"/>
      <c r="K895" s="38"/>
      <c r="L895" s="38" t="s">
        <v>2136</v>
      </c>
      <c r="M895" s="38">
        <v>1</v>
      </c>
      <c r="N895" s="38"/>
      <c r="O895" s="10"/>
      <c r="P895" s="25" t="str">
        <f>HYPERLINK("http://biade.itrust.de/biade/lpext.dll?f=id&amp;id=biadb%3Ar%3A003160&amp;t=main-h.htm","3160")</f>
        <v>3160</v>
      </c>
    </row>
    <row r="896" spans="1:16" ht="15.75" thickBot="1">
      <c r="A896" s="6" t="s">
        <v>278</v>
      </c>
      <c r="B896" s="10"/>
      <c r="C896" s="11" t="s">
        <v>279</v>
      </c>
      <c r="D896" s="10" t="s">
        <v>3795</v>
      </c>
      <c r="E896" s="38" t="s">
        <v>3796</v>
      </c>
      <c r="F896" s="38" t="s">
        <v>280</v>
      </c>
      <c r="G896" s="38"/>
      <c r="H896" s="38" t="s">
        <v>2164</v>
      </c>
      <c r="I896" s="38" t="s">
        <v>2124</v>
      </c>
      <c r="J896" s="38"/>
      <c r="K896" s="38"/>
      <c r="L896" s="38" t="s">
        <v>2130</v>
      </c>
      <c r="M896" s="38">
        <v>1</v>
      </c>
      <c r="N896" s="38" t="s">
        <v>4106</v>
      </c>
      <c r="O896" s="10"/>
      <c r="P896" s="25" t="str">
        <f>HYPERLINK("http://biade.itrust.de/biade/lpext.dll?f=id&amp;id=biadb%3Ar%3A026740&amp;t=main-h.htm","26740")</f>
        <v>26740</v>
      </c>
    </row>
    <row r="897" spans="1:16" ht="15">
      <c r="A897" s="49" t="s">
        <v>281</v>
      </c>
      <c r="B897" s="49"/>
      <c r="C897" s="51" t="s">
        <v>282</v>
      </c>
      <c r="D897" s="49" t="s">
        <v>1229</v>
      </c>
      <c r="E897" s="47" t="s">
        <v>1258</v>
      </c>
      <c r="F897" s="47" t="s">
        <v>3990</v>
      </c>
      <c r="G897" s="47" t="s">
        <v>2183</v>
      </c>
      <c r="H897" s="47" t="s">
        <v>3220</v>
      </c>
      <c r="I897" s="39" t="s">
        <v>3991</v>
      </c>
      <c r="J897" s="47">
        <v>4</v>
      </c>
      <c r="K897" s="47" t="s">
        <v>2157</v>
      </c>
      <c r="L897" s="47" t="s">
        <v>2211</v>
      </c>
      <c r="M897" s="47">
        <v>1</v>
      </c>
      <c r="N897" s="47" t="s">
        <v>1252</v>
      </c>
      <c r="O897" s="49"/>
      <c r="P897" s="51"/>
    </row>
    <row r="898" spans="1:16" ht="15.75" thickBot="1">
      <c r="A898" s="50"/>
      <c r="B898" s="50"/>
      <c r="C898" s="52"/>
      <c r="D898" s="50"/>
      <c r="E898" s="48"/>
      <c r="F898" s="48"/>
      <c r="G898" s="48"/>
      <c r="H898" s="48"/>
      <c r="I898" s="38" t="s">
        <v>2124</v>
      </c>
      <c r="J898" s="48"/>
      <c r="K898" s="48"/>
      <c r="L898" s="48"/>
      <c r="M898" s="48"/>
      <c r="N898" s="48"/>
      <c r="O898" s="50"/>
      <c r="P898" s="52"/>
    </row>
    <row r="899" spans="1:16" ht="15">
      <c r="A899" s="5" t="s">
        <v>283</v>
      </c>
      <c r="B899" s="49" t="s">
        <v>284</v>
      </c>
      <c r="C899" s="51" t="s">
        <v>285</v>
      </c>
      <c r="D899" s="49"/>
      <c r="E899" s="47" t="s">
        <v>2302</v>
      </c>
      <c r="F899" s="47" t="s">
        <v>286</v>
      </c>
      <c r="G899" s="47"/>
      <c r="H899" s="47" t="s">
        <v>2123</v>
      </c>
      <c r="I899" s="47" t="s">
        <v>2124</v>
      </c>
      <c r="J899" s="47"/>
      <c r="K899" s="47"/>
      <c r="L899" s="47" t="s">
        <v>2136</v>
      </c>
      <c r="M899" s="47">
        <v>2</v>
      </c>
      <c r="N899" s="47"/>
      <c r="O899" s="49"/>
      <c r="P899" s="51"/>
    </row>
    <row r="900" spans="1:16" ht="15.75" thickBot="1">
      <c r="A900" s="6" t="s">
        <v>794</v>
      </c>
      <c r="B900" s="50"/>
      <c r="C900" s="52"/>
      <c r="D900" s="50"/>
      <c r="E900" s="48"/>
      <c r="F900" s="48"/>
      <c r="G900" s="48"/>
      <c r="H900" s="48"/>
      <c r="I900" s="48"/>
      <c r="J900" s="48"/>
      <c r="K900" s="48"/>
      <c r="L900" s="48"/>
      <c r="M900" s="48"/>
      <c r="N900" s="48"/>
      <c r="O900" s="50"/>
      <c r="P900" s="52"/>
    </row>
    <row r="901" spans="1:16" ht="26.25" thickBot="1">
      <c r="A901" s="6" t="s">
        <v>287</v>
      </c>
      <c r="B901" s="10" t="s">
        <v>288</v>
      </c>
      <c r="C901" s="11" t="s">
        <v>289</v>
      </c>
      <c r="D901" s="10"/>
      <c r="E901" s="38"/>
      <c r="F901" s="38"/>
      <c r="G901" s="38"/>
      <c r="H901" s="38" t="s">
        <v>2123</v>
      </c>
      <c r="I901" s="38" t="s">
        <v>2124</v>
      </c>
      <c r="J901" s="38"/>
      <c r="K901" s="38"/>
      <c r="L901" s="38" t="s">
        <v>2136</v>
      </c>
      <c r="M901" s="38">
        <v>2</v>
      </c>
      <c r="N901" s="38"/>
      <c r="O901" s="10"/>
      <c r="P901" s="25" t="str">
        <f>HYPERLINK("http://biade.itrust.de/biade/lpext.dll?f=id&amp;id=biadb%3Ar%3A004120&amp;t=main-h.htm","4120")</f>
        <v>4120</v>
      </c>
    </row>
    <row r="902" spans="1:16" ht="26.25" thickBot="1">
      <c r="A902" s="6" t="s">
        <v>967</v>
      </c>
      <c r="B902" s="10" t="s">
        <v>2121</v>
      </c>
      <c r="C902" s="11" t="s">
        <v>290</v>
      </c>
      <c r="D902" s="10"/>
      <c r="E902" s="38"/>
      <c r="F902" s="38"/>
      <c r="G902" s="38"/>
      <c r="H902" s="38" t="s">
        <v>2123</v>
      </c>
      <c r="I902" s="38" t="s">
        <v>2124</v>
      </c>
      <c r="J902" s="38"/>
      <c r="K902" s="38"/>
      <c r="L902" s="38" t="s">
        <v>2125</v>
      </c>
      <c r="M902" s="38">
        <v>1</v>
      </c>
      <c r="N902" s="38"/>
      <c r="O902" s="10"/>
      <c r="P902" s="25" t="str">
        <f>HYPERLINK("http://biade.itrust.de/biade/lpext.dll?f=id&amp;id=biadb%3Ar%3A004860&amp;t=main-h.htm","4860")</f>
        <v>4860</v>
      </c>
    </row>
    <row r="903" spans="1:16" ht="15">
      <c r="A903" s="49" t="s">
        <v>291</v>
      </c>
      <c r="B903" s="7" t="s">
        <v>292</v>
      </c>
      <c r="C903" s="51" t="s">
        <v>293</v>
      </c>
      <c r="D903" s="49"/>
      <c r="E903" s="47"/>
      <c r="F903" s="47"/>
      <c r="G903" s="47"/>
      <c r="H903" s="47" t="s">
        <v>2123</v>
      </c>
      <c r="I903" s="47" t="s">
        <v>2124</v>
      </c>
      <c r="J903" s="47"/>
      <c r="K903" s="47"/>
      <c r="L903" s="47" t="s">
        <v>2125</v>
      </c>
      <c r="M903" s="47">
        <v>1</v>
      </c>
      <c r="N903" s="47"/>
      <c r="O903" s="49"/>
      <c r="P903" s="51"/>
    </row>
    <row r="904" spans="1:16" ht="15.75" thickBot="1">
      <c r="A904" s="50"/>
      <c r="B904" s="10" t="s">
        <v>1262</v>
      </c>
      <c r="C904" s="52"/>
      <c r="D904" s="50"/>
      <c r="E904" s="48"/>
      <c r="F904" s="48"/>
      <c r="G904" s="48"/>
      <c r="H904" s="48"/>
      <c r="I904" s="48"/>
      <c r="J904" s="48"/>
      <c r="K904" s="48"/>
      <c r="L904" s="48"/>
      <c r="M904" s="48"/>
      <c r="N904" s="48"/>
      <c r="O904" s="50"/>
      <c r="P904" s="52"/>
    </row>
    <row r="905" spans="1:16" ht="15.75" thickBot="1">
      <c r="A905" s="6" t="s">
        <v>294</v>
      </c>
      <c r="B905" s="10"/>
      <c r="C905" s="11" t="s">
        <v>295</v>
      </c>
      <c r="D905" s="10" t="s">
        <v>2227</v>
      </c>
      <c r="E905" s="38" t="s">
        <v>2461</v>
      </c>
      <c r="F905" s="38" t="s">
        <v>3884</v>
      </c>
      <c r="G905" s="38"/>
      <c r="H905" s="38" t="s">
        <v>2164</v>
      </c>
      <c r="I905" s="38" t="s">
        <v>2124</v>
      </c>
      <c r="J905" s="38"/>
      <c r="K905" s="38"/>
      <c r="L905" s="38" t="s">
        <v>2136</v>
      </c>
      <c r="M905" s="38">
        <v>1</v>
      </c>
      <c r="N905" s="38" t="s">
        <v>4043</v>
      </c>
      <c r="O905" s="10"/>
      <c r="P905" s="25" t="str">
        <f>HYPERLINK("http://biade.itrust.de/biade/lpext.dll?f=id&amp;id=biadb%3Ar%3A570160&amp;t=main-h.htm","570160")</f>
        <v>570160</v>
      </c>
    </row>
    <row r="906" spans="1:16" ht="15.75" thickBot="1">
      <c r="A906" s="29" t="s">
        <v>296</v>
      </c>
      <c r="B906" s="10" t="s">
        <v>2121</v>
      </c>
      <c r="C906" s="11" t="s">
        <v>297</v>
      </c>
      <c r="D906" s="10"/>
      <c r="E906" s="38"/>
      <c r="F906" s="38"/>
      <c r="G906" s="38"/>
      <c r="H906" s="38" t="s">
        <v>2123</v>
      </c>
      <c r="I906" s="38" t="s">
        <v>2124</v>
      </c>
      <c r="J906" s="38"/>
      <c r="K906" s="38"/>
      <c r="L906" s="38" t="s">
        <v>2125</v>
      </c>
      <c r="M906" s="38">
        <v>1</v>
      </c>
      <c r="N906" s="38"/>
      <c r="O906" s="10"/>
      <c r="P906" s="25" t="str">
        <f>HYPERLINK("http://biade.itrust.de/biade/lpext.dll?f=id&amp;id=biadb%3Ar%3A039960&amp;t=main-h.htm","39960")</f>
        <v>39960</v>
      </c>
    </row>
    <row r="907" spans="1:16" ht="15.75" thickBot="1">
      <c r="A907" s="6" t="s">
        <v>298</v>
      </c>
      <c r="B907" s="10" t="s">
        <v>299</v>
      </c>
      <c r="C907" s="11" t="s">
        <v>212</v>
      </c>
      <c r="D907" s="10" t="s">
        <v>2227</v>
      </c>
      <c r="E907" s="38" t="s">
        <v>213</v>
      </c>
      <c r="F907" s="38" t="s">
        <v>3884</v>
      </c>
      <c r="G907" s="38"/>
      <c r="H907" s="38" t="s">
        <v>3220</v>
      </c>
      <c r="I907" s="38" t="s">
        <v>2124</v>
      </c>
      <c r="J907" s="38"/>
      <c r="K907" s="38"/>
      <c r="L907" s="38" t="s">
        <v>2136</v>
      </c>
      <c r="M907" s="38">
        <v>1</v>
      </c>
      <c r="N907" s="38" t="s">
        <v>300</v>
      </c>
      <c r="O907" s="10"/>
      <c r="P907" s="25" t="str">
        <f>HYPERLINK("http://biade.itrust.de/biade/lpext.dll?f=id&amp;id=biadb%3Ar%3A001420&amp;t=main-h.htm","1420")</f>
        <v>1420</v>
      </c>
    </row>
    <row r="908" spans="1:16" ht="15.75" thickBot="1">
      <c r="A908" s="6" t="s">
        <v>301</v>
      </c>
      <c r="B908" s="10" t="s">
        <v>2121</v>
      </c>
      <c r="C908" s="11" t="s">
        <v>302</v>
      </c>
      <c r="D908" s="10" t="s">
        <v>3887</v>
      </c>
      <c r="E908" s="38" t="s">
        <v>303</v>
      </c>
      <c r="F908" s="38" t="s">
        <v>2143</v>
      </c>
      <c r="G908" s="38"/>
      <c r="H908" s="38" t="s">
        <v>2164</v>
      </c>
      <c r="I908" s="38" t="s">
        <v>2124</v>
      </c>
      <c r="J908" s="38"/>
      <c r="K908" s="38"/>
      <c r="L908" s="38" t="s">
        <v>2216</v>
      </c>
      <c r="M908" s="38">
        <v>1</v>
      </c>
      <c r="N908" s="38"/>
      <c r="O908" s="10"/>
      <c r="P908" s="11"/>
    </row>
    <row r="909" spans="1:16" ht="15.75" thickBot="1">
      <c r="A909" s="6" t="s">
        <v>304</v>
      </c>
      <c r="B909" s="10" t="s">
        <v>2121</v>
      </c>
      <c r="C909" s="11" t="s">
        <v>305</v>
      </c>
      <c r="D909" s="10"/>
      <c r="E909" s="38"/>
      <c r="F909" s="38"/>
      <c r="G909" s="38"/>
      <c r="H909" s="38" t="s">
        <v>2123</v>
      </c>
      <c r="I909" s="38" t="s">
        <v>2124</v>
      </c>
      <c r="J909" s="38"/>
      <c r="K909" s="38"/>
      <c r="L909" s="38" t="s">
        <v>2136</v>
      </c>
      <c r="M909" s="38">
        <v>1</v>
      </c>
      <c r="N909" s="38"/>
      <c r="O909" s="10"/>
      <c r="P909" s="25" t="str">
        <f>HYPERLINK("http://biade.itrust.de/biade/lpext.dll?f=id&amp;id=biadb%3Ar%3A122515&amp;t=main-h.htm","122515")</f>
        <v>122515</v>
      </c>
    </row>
    <row r="910" spans="1:16" ht="25.5" customHeight="1">
      <c r="A910" s="5" t="s">
        <v>306</v>
      </c>
      <c r="B910" s="49" t="s">
        <v>2121</v>
      </c>
      <c r="C910" s="51" t="s">
        <v>307</v>
      </c>
      <c r="D910" s="49"/>
      <c r="E910" s="47"/>
      <c r="F910" s="47"/>
      <c r="G910" s="47"/>
      <c r="H910" s="47" t="s">
        <v>2123</v>
      </c>
      <c r="I910" s="47" t="s">
        <v>2124</v>
      </c>
      <c r="J910" s="47"/>
      <c r="K910" s="47"/>
      <c r="L910" s="47" t="s">
        <v>2136</v>
      </c>
      <c r="M910" s="47">
        <v>1</v>
      </c>
      <c r="N910" s="47"/>
      <c r="O910" s="49"/>
      <c r="P910" s="51"/>
    </row>
    <row r="911" spans="1:16" ht="15.75" thickBot="1">
      <c r="A911" s="6" t="s">
        <v>2891</v>
      </c>
      <c r="B911" s="50"/>
      <c r="C911" s="52"/>
      <c r="D911" s="50"/>
      <c r="E911" s="48"/>
      <c r="F911" s="48"/>
      <c r="G911" s="48"/>
      <c r="H911" s="48"/>
      <c r="I911" s="48"/>
      <c r="J911" s="48"/>
      <c r="K911" s="48"/>
      <c r="L911" s="48"/>
      <c r="M911" s="48"/>
      <c r="N911" s="48"/>
      <c r="O911" s="50"/>
      <c r="P911" s="52"/>
    </row>
    <row r="912" spans="1:16" ht="15.75" thickBot="1">
      <c r="A912" s="6" t="s">
        <v>308</v>
      </c>
      <c r="B912" s="10" t="s">
        <v>2121</v>
      </c>
      <c r="C912" s="11" t="s">
        <v>309</v>
      </c>
      <c r="D912" s="10" t="s">
        <v>4020</v>
      </c>
      <c r="E912" s="38">
        <v>8</v>
      </c>
      <c r="F912" s="38" t="s">
        <v>310</v>
      </c>
      <c r="G912" s="38"/>
      <c r="H912" s="38" t="s">
        <v>2164</v>
      </c>
      <c r="I912" s="38" t="s">
        <v>2124</v>
      </c>
      <c r="J912" s="38"/>
      <c r="K912" s="38"/>
      <c r="L912" s="38" t="s">
        <v>2136</v>
      </c>
      <c r="M912" s="38">
        <v>1</v>
      </c>
      <c r="N912" s="38"/>
      <c r="O912" s="10"/>
      <c r="P912" s="25" t="str">
        <f>HYPERLINK("http://biade.itrust.de/biade/lpext.dll?f=id&amp;id=biadb%3Ar%3A003630&amp;t=main-h.htm","3630")</f>
        <v>3630</v>
      </c>
    </row>
    <row r="913" spans="1:16" ht="15.75" thickBot="1">
      <c r="A913" s="6" t="s">
        <v>311</v>
      </c>
      <c r="B913" s="10"/>
      <c r="C913" s="11" t="s">
        <v>312</v>
      </c>
      <c r="D913" s="10" t="s">
        <v>2916</v>
      </c>
      <c r="E913" s="38" t="s">
        <v>313</v>
      </c>
      <c r="F913" s="38" t="s">
        <v>314</v>
      </c>
      <c r="G913" s="38"/>
      <c r="H913" s="38" t="s">
        <v>3220</v>
      </c>
      <c r="I913" s="38" t="s">
        <v>2124</v>
      </c>
      <c r="J913" s="38"/>
      <c r="K913" s="38" t="s">
        <v>2157</v>
      </c>
      <c r="L913" s="38" t="s">
        <v>2215</v>
      </c>
      <c r="M913" s="38">
        <v>2</v>
      </c>
      <c r="N913" s="38" t="s">
        <v>315</v>
      </c>
      <c r="O913" s="10"/>
      <c r="P913" s="25" t="str">
        <f>HYPERLINK("http://biade.itrust.de/biade/lpext.dll?f=id&amp;id=biadb%3Ar%3A500036&amp;t=main-h.htm","500036")</f>
        <v>500036</v>
      </c>
    </row>
    <row r="914" spans="1:16" ht="15">
      <c r="A914" s="5" t="s">
        <v>316</v>
      </c>
      <c r="B914" s="7" t="s">
        <v>317</v>
      </c>
      <c r="C914" s="51" t="s">
        <v>318</v>
      </c>
      <c r="D914" s="49" t="s">
        <v>2128</v>
      </c>
      <c r="E914" s="47" t="s">
        <v>319</v>
      </c>
      <c r="F914" s="47" t="s">
        <v>4026</v>
      </c>
      <c r="G914" s="47"/>
      <c r="H914" s="47" t="s">
        <v>2164</v>
      </c>
      <c r="I914" s="47" t="s">
        <v>2124</v>
      </c>
      <c r="J914" s="47"/>
      <c r="K914" s="47"/>
      <c r="L914" s="47" t="s">
        <v>2165</v>
      </c>
      <c r="M914" s="47">
        <v>1</v>
      </c>
      <c r="N914" s="47" t="s">
        <v>2144</v>
      </c>
      <c r="O914" s="49"/>
      <c r="P914" s="51"/>
    </row>
    <row r="915" spans="1:16" ht="15.75" thickBot="1">
      <c r="A915" s="6" t="s">
        <v>1617</v>
      </c>
      <c r="B915" s="10" t="s">
        <v>1262</v>
      </c>
      <c r="C915" s="52"/>
      <c r="D915" s="50"/>
      <c r="E915" s="48"/>
      <c r="F915" s="48"/>
      <c r="G915" s="48"/>
      <c r="H915" s="48"/>
      <c r="I915" s="48"/>
      <c r="J915" s="48"/>
      <c r="K915" s="48"/>
      <c r="L915" s="48"/>
      <c r="M915" s="48"/>
      <c r="N915" s="48"/>
      <c r="O915" s="50"/>
      <c r="P915" s="52"/>
    </row>
    <row r="916" spans="1:16" ht="15.75" thickBot="1">
      <c r="A916" s="6" t="s">
        <v>320</v>
      </c>
      <c r="B916" s="10"/>
      <c r="C916" s="11" t="s">
        <v>321</v>
      </c>
      <c r="D916" s="10" t="s">
        <v>2141</v>
      </c>
      <c r="E916" s="38" t="s">
        <v>322</v>
      </c>
      <c r="F916" s="38" t="s">
        <v>323</v>
      </c>
      <c r="G916" s="38"/>
      <c r="H916" s="38" t="s">
        <v>2164</v>
      </c>
      <c r="I916" s="38" t="s">
        <v>2124</v>
      </c>
      <c r="J916" s="38"/>
      <c r="K916" s="38"/>
      <c r="L916" s="38" t="s">
        <v>2136</v>
      </c>
      <c r="M916" s="38">
        <v>1</v>
      </c>
      <c r="N916" s="38" t="s">
        <v>2144</v>
      </c>
      <c r="O916" s="10"/>
      <c r="P916" s="25" t="str">
        <f>HYPERLINK("http://biade.itrust.de/biade/lpext.dll?f=id&amp;id=biadb%3Ar%3A500037&amp;t=main-h.htm","500037")</f>
        <v>500037</v>
      </c>
    </row>
    <row r="917" spans="1:16" ht="15">
      <c r="A917" s="49" t="s">
        <v>324</v>
      </c>
      <c r="B917" s="49"/>
      <c r="C917" s="51" t="s">
        <v>325</v>
      </c>
      <c r="D917" s="49" t="s">
        <v>244</v>
      </c>
      <c r="E917" s="47" t="s">
        <v>326</v>
      </c>
      <c r="F917" s="47" t="s">
        <v>765</v>
      </c>
      <c r="G917" s="47"/>
      <c r="H917" s="47" t="s">
        <v>2164</v>
      </c>
      <c r="I917" s="39">
        <v>0.5</v>
      </c>
      <c r="J917" s="47" t="s">
        <v>327</v>
      </c>
      <c r="K917" s="47"/>
      <c r="L917" s="47" t="s">
        <v>2216</v>
      </c>
      <c r="M917" s="47">
        <v>3</v>
      </c>
      <c r="N917" s="47" t="s">
        <v>2144</v>
      </c>
      <c r="O917" s="49"/>
      <c r="P917" s="51"/>
    </row>
    <row r="918" spans="1:16" ht="15.75" thickBot="1">
      <c r="A918" s="50"/>
      <c r="B918" s="50"/>
      <c r="C918" s="52"/>
      <c r="D918" s="50"/>
      <c r="E918" s="48"/>
      <c r="F918" s="48"/>
      <c r="G918" s="48"/>
      <c r="H918" s="48"/>
      <c r="I918" s="38" t="s">
        <v>2124</v>
      </c>
      <c r="J918" s="48"/>
      <c r="K918" s="48"/>
      <c r="L918" s="48"/>
      <c r="M918" s="48"/>
      <c r="N918" s="48"/>
      <c r="O918" s="50"/>
      <c r="P918" s="52"/>
    </row>
    <row r="919" spans="1:16" ht="15.75" thickBot="1">
      <c r="A919" s="6" t="s">
        <v>328</v>
      </c>
      <c r="B919" s="10" t="s">
        <v>329</v>
      </c>
      <c r="C919" s="11" t="s">
        <v>330</v>
      </c>
      <c r="D919" s="10" t="s">
        <v>2141</v>
      </c>
      <c r="E919" s="38" t="s">
        <v>4035</v>
      </c>
      <c r="F919" s="38" t="s">
        <v>4036</v>
      </c>
      <c r="G919" s="38" t="s">
        <v>3940</v>
      </c>
      <c r="H919" s="38" t="s">
        <v>2164</v>
      </c>
      <c r="I919" s="38" t="s">
        <v>2124</v>
      </c>
      <c r="J919" s="38"/>
      <c r="K919" s="38"/>
      <c r="L919" s="38" t="s">
        <v>2136</v>
      </c>
      <c r="M919" s="38">
        <v>1</v>
      </c>
      <c r="N919" s="38" t="s">
        <v>1613</v>
      </c>
      <c r="O919" s="10"/>
      <c r="P919" s="25" t="str">
        <f>HYPERLINK("http://biade.itrust.de/biade/lpext.dll?f=id&amp;id=biadb%3Ar%3A001180&amp;t=main-h.htm","1180")</f>
        <v>1180</v>
      </c>
    </row>
    <row r="920" spans="1:16" ht="15.75" thickBot="1">
      <c r="A920" s="6" t="s">
        <v>331</v>
      </c>
      <c r="B920" s="10" t="s">
        <v>1248</v>
      </c>
      <c r="C920" s="11" t="s">
        <v>332</v>
      </c>
      <c r="D920" s="10" t="s">
        <v>2134</v>
      </c>
      <c r="E920" s="38">
        <v>41</v>
      </c>
      <c r="F920" s="38" t="s">
        <v>3898</v>
      </c>
      <c r="G920" s="38"/>
      <c r="H920" s="38" t="s">
        <v>2164</v>
      </c>
      <c r="I920" s="38" t="s">
        <v>2124</v>
      </c>
      <c r="J920" s="38"/>
      <c r="K920" s="38"/>
      <c r="L920" s="38" t="s">
        <v>2136</v>
      </c>
      <c r="M920" s="38">
        <v>2</v>
      </c>
      <c r="N920" s="38" t="s">
        <v>333</v>
      </c>
      <c r="O920" s="10"/>
      <c r="P920" s="11"/>
    </row>
    <row r="921" spans="1:16" ht="15.75" thickBot="1">
      <c r="A921" s="6" t="s">
        <v>334</v>
      </c>
      <c r="B921" s="10" t="s">
        <v>2121</v>
      </c>
      <c r="C921" s="11" t="s">
        <v>335</v>
      </c>
      <c r="D921" s="10" t="s">
        <v>2134</v>
      </c>
      <c r="E921" s="38" t="s">
        <v>2135</v>
      </c>
      <c r="F921" s="38"/>
      <c r="G921" s="38"/>
      <c r="H921" s="38" t="s">
        <v>2164</v>
      </c>
      <c r="I921" s="38" t="s">
        <v>2124</v>
      </c>
      <c r="J921" s="38"/>
      <c r="K921" s="38"/>
      <c r="L921" s="38" t="s">
        <v>2136</v>
      </c>
      <c r="M921" s="38">
        <v>1</v>
      </c>
      <c r="N921" s="38" t="s">
        <v>3017</v>
      </c>
      <c r="O921" s="10"/>
      <c r="P921" s="11"/>
    </row>
    <row r="922" spans="1:16" ht="15.75" thickBot="1">
      <c r="A922" s="6" t="s">
        <v>336</v>
      </c>
      <c r="B922" s="10" t="s">
        <v>2121</v>
      </c>
      <c r="C922" s="11" t="s">
        <v>337</v>
      </c>
      <c r="D922" s="10" t="s">
        <v>2134</v>
      </c>
      <c r="E922" s="38" t="s">
        <v>2135</v>
      </c>
      <c r="F922" s="38" t="s">
        <v>4026</v>
      </c>
      <c r="G922" s="38"/>
      <c r="H922" s="38" t="s">
        <v>2164</v>
      </c>
      <c r="I922" s="38" t="s">
        <v>2124</v>
      </c>
      <c r="J922" s="38"/>
      <c r="K922" s="38"/>
      <c r="L922" s="38" t="s">
        <v>2165</v>
      </c>
      <c r="M922" s="38">
        <v>1</v>
      </c>
      <c r="N922" s="38" t="s">
        <v>1252</v>
      </c>
      <c r="O922" s="10"/>
      <c r="P922" s="25" t="str">
        <f>HYPERLINK("http://biade.itrust.de/biade/lpext.dll?f=id&amp;id=biadb%3Ar%3A035030&amp;t=main-h.htm","35030")</f>
        <v>35030</v>
      </c>
    </row>
    <row r="923" spans="1:16" ht="15.75" thickBot="1">
      <c r="A923" s="6" t="s">
        <v>338</v>
      </c>
      <c r="B923" s="10" t="s">
        <v>2121</v>
      </c>
      <c r="C923" s="11" t="s">
        <v>339</v>
      </c>
      <c r="D923" s="10"/>
      <c r="E923" s="38"/>
      <c r="F923" s="38"/>
      <c r="G923" s="38"/>
      <c r="H923" s="38" t="s">
        <v>2123</v>
      </c>
      <c r="I923" s="38" t="s">
        <v>2124</v>
      </c>
      <c r="J923" s="38"/>
      <c r="K923" s="38"/>
      <c r="L923" s="38" t="s">
        <v>2125</v>
      </c>
      <c r="M923" s="38">
        <v>1</v>
      </c>
      <c r="N923" s="38"/>
      <c r="O923" s="10"/>
      <c r="P923" s="25" t="str">
        <f>HYPERLINK("http://biade.itrust.de/biade/lpext.dll?f=id&amp;id=biadb%3Ar%3A001580&amp;t=main-h.htm","1580")</f>
        <v>1580</v>
      </c>
    </row>
    <row r="924" spans="1:16" ht="22.5" customHeight="1">
      <c r="A924" s="49" t="s">
        <v>340</v>
      </c>
      <c r="B924" s="49" t="s">
        <v>341</v>
      </c>
      <c r="C924" s="8" t="s">
        <v>342</v>
      </c>
      <c r="D924" s="49" t="s">
        <v>1242</v>
      </c>
      <c r="E924" s="47" t="s">
        <v>344</v>
      </c>
      <c r="F924" s="47" t="s">
        <v>4099</v>
      </c>
      <c r="G924" s="47"/>
      <c r="H924" s="47" t="s">
        <v>2129</v>
      </c>
      <c r="I924" s="47" t="s">
        <v>2124</v>
      </c>
      <c r="J924" s="47"/>
      <c r="K924" s="47"/>
      <c r="L924" s="47" t="s">
        <v>2136</v>
      </c>
      <c r="M924" s="47">
        <v>2</v>
      </c>
      <c r="N924" s="47" t="s">
        <v>3792</v>
      </c>
      <c r="O924" s="49"/>
      <c r="P924" s="36" t="str">
        <f>HYPERLINK("http://biade.itrust.de/biade/lpext.dll?f=id&amp;id=biadb%3Ar%3A500039&amp;t=main-h.htm","500039")</f>
        <v>500039</v>
      </c>
    </row>
    <row r="925" spans="1:16" ht="15.75" thickBot="1">
      <c r="A925" s="50"/>
      <c r="B925" s="50"/>
      <c r="C925" s="11" t="s">
        <v>343</v>
      </c>
      <c r="D925" s="50"/>
      <c r="E925" s="48"/>
      <c r="F925" s="48"/>
      <c r="G925" s="48"/>
      <c r="H925" s="48"/>
      <c r="I925" s="48"/>
      <c r="J925" s="48"/>
      <c r="K925" s="48"/>
      <c r="L925" s="48"/>
      <c r="M925" s="48"/>
      <c r="N925" s="48"/>
      <c r="O925" s="50"/>
      <c r="P925" s="25" t="str">
        <f>HYPERLINK("http://biade.itrust.de/biade/lpext.dll?f=id&amp;id=biadb%3Ar%3A500038&amp;t=main-h.htm","500038")</f>
        <v>500038</v>
      </c>
    </row>
    <row r="926" spans="1:16" ht="15.75" thickBot="1">
      <c r="A926" s="6" t="s">
        <v>345</v>
      </c>
      <c r="B926" s="10" t="s">
        <v>2177</v>
      </c>
      <c r="C926" s="11" t="s">
        <v>346</v>
      </c>
      <c r="D926" s="10" t="s">
        <v>2134</v>
      </c>
      <c r="E926" s="38" t="s">
        <v>2162</v>
      </c>
      <c r="F926" s="38" t="s">
        <v>2163</v>
      </c>
      <c r="G926" s="38"/>
      <c r="H926" s="38" t="s">
        <v>2164</v>
      </c>
      <c r="I926" s="38" t="s">
        <v>2124</v>
      </c>
      <c r="J926" s="38"/>
      <c r="K926" s="38"/>
      <c r="L926" s="38" t="s">
        <v>2136</v>
      </c>
      <c r="M926" s="38">
        <v>1</v>
      </c>
      <c r="N926" s="38" t="s">
        <v>3017</v>
      </c>
      <c r="O926" s="10"/>
      <c r="P926" s="25" t="str">
        <f>HYPERLINK("http://biade.itrust.de/biade/lpext.dll?f=id&amp;id=biadb%3Ar%3A003670&amp;t=main-h.htm","3670")</f>
        <v>3670</v>
      </c>
    </row>
    <row r="927" spans="1:16" ht="15">
      <c r="A927" s="49" t="s">
        <v>347</v>
      </c>
      <c r="B927" s="7" t="s">
        <v>348</v>
      </c>
      <c r="C927" s="51" t="s">
        <v>350</v>
      </c>
      <c r="D927" s="49"/>
      <c r="E927" s="47"/>
      <c r="F927" s="47" t="s">
        <v>351</v>
      </c>
      <c r="G927" s="47"/>
      <c r="H927" s="47" t="s">
        <v>2123</v>
      </c>
      <c r="I927" s="47"/>
      <c r="J927" s="47"/>
      <c r="K927" s="47"/>
      <c r="L927" s="47"/>
      <c r="M927" s="47">
        <v>3</v>
      </c>
      <c r="N927" s="47"/>
      <c r="O927" s="49"/>
      <c r="P927" s="51"/>
    </row>
    <row r="928" spans="1:16" ht="15.75" thickBot="1">
      <c r="A928" s="50"/>
      <c r="B928" s="10" t="s">
        <v>349</v>
      </c>
      <c r="C928" s="52"/>
      <c r="D928" s="50"/>
      <c r="E928" s="48"/>
      <c r="F928" s="48"/>
      <c r="G928" s="48"/>
      <c r="H928" s="48"/>
      <c r="I928" s="48"/>
      <c r="J928" s="48"/>
      <c r="K928" s="48"/>
      <c r="L928" s="48"/>
      <c r="M928" s="48"/>
      <c r="N928" s="48"/>
      <c r="O928" s="50"/>
      <c r="P928" s="52"/>
    </row>
    <row r="929" spans="1:16" ht="15.75" thickBot="1">
      <c r="A929" s="6" t="s">
        <v>352</v>
      </c>
      <c r="B929" s="10" t="s">
        <v>353</v>
      </c>
      <c r="C929" s="11" t="s">
        <v>354</v>
      </c>
      <c r="D929" s="10" t="s">
        <v>2128</v>
      </c>
      <c r="E929" s="38" t="s">
        <v>355</v>
      </c>
      <c r="F929" s="38" t="s">
        <v>356</v>
      </c>
      <c r="G929" s="38"/>
      <c r="H929" s="38" t="s">
        <v>2164</v>
      </c>
      <c r="I929" s="38" t="s">
        <v>2124</v>
      </c>
      <c r="J929" s="38"/>
      <c r="K929" s="38"/>
      <c r="L929" s="38" t="s">
        <v>2136</v>
      </c>
      <c r="M929" s="38">
        <v>1</v>
      </c>
      <c r="N929" s="38" t="s">
        <v>2144</v>
      </c>
      <c r="O929" s="10"/>
      <c r="P929" s="25" t="str">
        <f>HYPERLINK("http://biade.itrust.de/biade/lpext.dll?f=id&amp;id=biadb%3Ar%3A103203&amp;t=main-h.htm","103203")</f>
        <v>103203</v>
      </c>
    </row>
    <row r="930" spans="1:16" ht="38.25" customHeight="1">
      <c r="A930" s="49" t="s">
        <v>357</v>
      </c>
      <c r="B930" s="7" t="s">
        <v>358</v>
      </c>
      <c r="C930" s="51"/>
      <c r="D930" s="49" t="s">
        <v>2134</v>
      </c>
      <c r="E930" s="47" t="s">
        <v>360</v>
      </c>
      <c r="F930" s="47" t="s">
        <v>361</v>
      </c>
      <c r="G930" s="47"/>
      <c r="H930" s="47" t="s">
        <v>2164</v>
      </c>
      <c r="I930" s="47" t="s">
        <v>2124</v>
      </c>
      <c r="J930" s="47"/>
      <c r="K930" s="47"/>
      <c r="L930" s="47" t="s">
        <v>2136</v>
      </c>
      <c r="M930" s="47" t="s">
        <v>1270</v>
      </c>
      <c r="N930" s="47"/>
      <c r="O930" s="49"/>
      <c r="P930" s="51"/>
    </row>
    <row r="931" spans="1:16" ht="15.75" customHeight="1" thickBot="1">
      <c r="A931" s="50"/>
      <c r="B931" s="10" t="s">
        <v>359</v>
      </c>
      <c r="C931" s="52"/>
      <c r="D931" s="50"/>
      <c r="E931" s="48"/>
      <c r="F931" s="48"/>
      <c r="G931" s="48"/>
      <c r="H931" s="48"/>
      <c r="I931" s="48"/>
      <c r="J931" s="48"/>
      <c r="K931" s="48"/>
      <c r="L931" s="48"/>
      <c r="M931" s="48"/>
      <c r="N931" s="48"/>
      <c r="O931" s="50"/>
      <c r="P931" s="52"/>
    </row>
    <row r="932" spans="1:16" ht="15.75" thickBot="1">
      <c r="A932" s="6" t="s">
        <v>362</v>
      </c>
      <c r="B932" s="10" t="s">
        <v>3896</v>
      </c>
      <c r="C932" s="11"/>
      <c r="D932" s="10" t="s">
        <v>2227</v>
      </c>
      <c r="E932" s="38" t="s">
        <v>363</v>
      </c>
      <c r="F932" s="38" t="s">
        <v>3884</v>
      </c>
      <c r="G932" s="38"/>
      <c r="H932" s="38" t="s">
        <v>2164</v>
      </c>
      <c r="I932" s="38" t="s">
        <v>2124</v>
      </c>
      <c r="J932" s="38"/>
      <c r="K932" s="38" t="s">
        <v>2533</v>
      </c>
      <c r="L932" s="38" t="s">
        <v>2130</v>
      </c>
      <c r="M932" s="38">
        <v>2</v>
      </c>
      <c r="N932" s="38" t="s">
        <v>364</v>
      </c>
      <c r="O932" s="10"/>
      <c r="P932" s="11"/>
    </row>
    <row r="933" spans="1:16" ht="15" customHeight="1">
      <c r="A933" s="49" t="s">
        <v>365</v>
      </c>
      <c r="B933" s="7" t="s">
        <v>366</v>
      </c>
      <c r="C933" s="51"/>
      <c r="D933" s="49" t="s">
        <v>3901</v>
      </c>
      <c r="E933" s="47" t="s">
        <v>2162</v>
      </c>
      <c r="F933" s="47">
        <v>26</v>
      </c>
      <c r="G933" s="47"/>
      <c r="H933" s="47" t="s">
        <v>2164</v>
      </c>
      <c r="I933" s="47" t="s">
        <v>2124</v>
      </c>
      <c r="J933" s="47"/>
      <c r="K933" s="47"/>
      <c r="L933" s="47" t="s">
        <v>2125</v>
      </c>
      <c r="M933" s="47">
        <v>2</v>
      </c>
      <c r="N933" s="47"/>
      <c r="O933" s="49"/>
      <c r="P933" s="51"/>
    </row>
    <row r="934" spans="1:16" ht="15.75" thickBot="1">
      <c r="A934" s="50"/>
      <c r="B934" s="10" t="s">
        <v>367</v>
      </c>
      <c r="C934" s="52"/>
      <c r="D934" s="50"/>
      <c r="E934" s="48"/>
      <c r="F934" s="48"/>
      <c r="G934" s="48"/>
      <c r="H934" s="48"/>
      <c r="I934" s="48"/>
      <c r="J934" s="48"/>
      <c r="K934" s="48"/>
      <c r="L934" s="48"/>
      <c r="M934" s="48"/>
      <c r="N934" s="48"/>
      <c r="O934" s="50"/>
      <c r="P934" s="52"/>
    </row>
    <row r="935" spans="1:16" ht="26.25" thickBot="1">
      <c r="A935" s="6" t="s">
        <v>368</v>
      </c>
      <c r="B935" s="10" t="s">
        <v>369</v>
      </c>
      <c r="C935" s="11" t="s">
        <v>370</v>
      </c>
      <c r="D935" s="10" t="s">
        <v>2227</v>
      </c>
      <c r="E935" s="38">
        <v>34</v>
      </c>
      <c r="F935" s="38" t="s">
        <v>3884</v>
      </c>
      <c r="G935" s="38"/>
      <c r="H935" s="38" t="s">
        <v>2164</v>
      </c>
      <c r="I935" s="38" t="s">
        <v>2124</v>
      </c>
      <c r="J935" s="38"/>
      <c r="K935" s="38" t="s">
        <v>2533</v>
      </c>
      <c r="L935" s="38" t="s">
        <v>2130</v>
      </c>
      <c r="M935" s="38"/>
      <c r="N935" s="38"/>
      <c r="O935" s="10"/>
      <c r="P935" s="11"/>
    </row>
    <row r="936" spans="1:16" ht="15.75" thickBot="1">
      <c r="A936" s="6" t="s">
        <v>371</v>
      </c>
      <c r="B936" s="10" t="s">
        <v>1907</v>
      </c>
      <c r="C936" s="11" t="s">
        <v>372</v>
      </c>
      <c r="D936" s="10" t="s">
        <v>2128</v>
      </c>
      <c r="E936" s="38">
        <v>65</v>
      </c>
      <c r="F936" s="38" t="s">
        <v>2960</v>
      </c>
      <c r="G936" s="38"/>
      <c r="H936" s="38" t="s">
        <v>373</v>
      </c>
      <c r="I936" s="38" t="s">
        <v>2124</v>
      </c>
      <c r="J936" s="38"/>
      <c r="K936" s="38" t="s">
        <v>2188</v>
      </c>
      <c r="L936" s="38" t="s">
        <v>2130</v>
      </c>
      <c r="M936" s="38">
        <v>3</v>
      </c>
      <c r="N936" s="38"/>
      <c r="O936" s="10"/>
      <c r="P936" s="25" t="str">
        <f>HYPERLINK("http://biade.itrust.de/biade/lpext.dll?f=id&amp;id=biadb%3Ar%3A090150&amp;t=main-h.htm","90150")</f>
        <v>90150</v>
      </c>
    </row>
    <row r="937" spans="1:16" ht="15.75" thickBot="1">
      <c r="A937" s="6" t="s">
        <v>374</v>
      </c>
      <c r="B937" s="10" t="s">
        <v>375</v>
      </c>
      <c r="C937" s="11" t="s">
        <v>376</v>
      </c>
      <c r="D937" s="10"/>
      <c r="E937" s="38"/>
      <c r="F937" s="38">
        <v>22</v>
      </c>
      <c r="G937" s="38"/>
      <c r="H937" s="38" t="s">
        <v>2123</v>
      </c>
      <c r="I937" s="38" t="s">
        <v>2124</v>
      </c>
      <c r="J937" s="38"/>
      <c r="K937" s="38"/>
      <c r="L937" s="38" t="s">
        <v>2125</v>
      </c>
      <c r="M937" s="38" t="s">
        <v>2221</v>
      </c>
      <c r="N937" s="38"/>
      <c r="O937" s="10"/>
      <c r="P937" s="25" t="str">
        <f>HYPERLINK("http://biade.itrust.de/biade/lpext.dll?f=id&amp;id=biadb%3Ar%3A001290&amp;t=main-h.htm","1290")</f>
        <v>1290</v>
      </c>
    </row>
    <row r="938" spans="1:16" ht="15">
      <c r="A938" s="49" t="s">
        <v>377</v>
      </c>
      <c r="B938" s="49" t="s">
        <v>2121</v>
      </c>
      <c r="C938" s="51" t="s">
        <v>378</v>
      </c>
      <c r="D938" s="49" t="s">
        <v>2128</v>
      </c>
      <c r="E938" s="47" t="s">
        <v>379</v>
      </c>
      <c r="F938" s="47">
        <v>22</v>
      </c>
      <c r="G938" s="47"/>
      <c r="H938" s="47" t="s">
        <v>2164</v>
      </c>
      <c r="I938" s="39" t="s">
        <v>380</v>
      </c>
      <c r="J938" s="47" t="s">
        <v>2</v>
      </c>
      <c r="K938" s="47"/>
      <c r="L938" s="47" t="s">
        <v>2125</v>
      </c>
      <c r="M938" s="47" t="s">
        <v>2221</v>
      </c>
      <c r="N938" s="47"/>
      <c r="O938" s="49"/>
      <c r="P938" s="51"/>
    </row>
    <row r="939" spans="1:16" ht="15.75" thickBot="1">
      <c r="A939" s="50"/>
      <c r="B939" s="50"/>
      <c r="C939" s="52"/>
      <c r="D939" s="50"/>
      <c r="E939" s="48"/>
      <c r="F939" s="48"/>
      <c r="G939" s="48"/>
      <c r="H939" s="48"/>
      <c r="I939" s="38" t="s">
        <v>2124</v>
      </c>
      <c r="J939" s="48"/>
      <c r="K939" s="48"/>
      <c r="L939" s="48"/>
      <c r="M939" s="48"/>
      <c r="N939" s="48"/>
      <c r="O939" s="50"/>
      <c r="P939" s="52"/>
    </row>
    <row r="940" spans="1:16" ht="15.75" thickBot="1">
      <c r="A940" s="6" t="s">
        <v>381</v>
      </c>
      <c r="B940" s="10" t="s">
        <v>2132</v>
      </c>
      <c r="C940" s="11" t="s">
        <v>382</v>
      </c>
      <c r="D940" s="10" t="s">
        <v>2128</v>
      </c>
      <c r="E940" s="38" t="s">
        <v>383</v>
      </c>
      <c r="F940" s="38" t="s">
        <v>384</v>
      </c>
      <c r="G940" s="38"/>
      <c r="H940" s="38" t="s">
        <v>2164</v>
      </c>
      <c r="I940" s="38" t="s">
        <v>380</v>
      </c>
      <c r="J940" s="38"/>
      <c r="K940" s="38"/>
      <c r="L940" s="38" t="s">
        <v>2125</v>
      </c>
      <c r="M940" s="38" t="s">
        <v>2221</v>
      </c>
      <c r="N940" s="38"/>
      <c r="O940" s="10"/>
      <c r="P940" s="11"/>
    </row>
    <row r="941" spans="1:16" ht="15">
      <c r="A941" s="49" t="s">
        <v>385</v>
      </c>
      <c r="B941" s="7" t="s">
        <v>386</v>
      </c>
      <c r="C941" s="51" t="s">
        <v>388</v>
      </c>
      <c r="D941" s="49"/>
      <c r="E941" s="47"/>
      <c r="F941" s="47" t="s">
        <v>389</v>
      </c>
      <c r="G941" s="47"/>
      <c r="H941" s="47" t="s">
        <v>2123</v>
      </c>
      <c r="I941" s="39">
        <v>9100</v>
      </c>
      <c r="J941" s="47">
        <v>2</v>
      </c>
      <c r="K941" s="47" t="s">
        <v>2192</v>
      </c>
      <c r="L941" s="47" t="s">
        <v>2202</v>
      </c>
      <c r="M941" s="47" t="s">
        <v>2221</v>
      </c>
      <c r="N941" s="47"/>
      <c r="O941" s="49"/>
      <c r="P941" s="51"/>
    </row>
    <row r="942" spans="1:16" ht="15.75" thickBot="1">
      <c r="A942" s="50"/>
      <c r="B942" s="10" t="s">
        <v>387</v>
      </c>
      <c r="C942" s="52"/>
      <c r="D942" s="50"/>
      <c r="E942" s="48"/>
      <c r="F942" s="48"/>
      <c r="G942" s="48"/>
      <c r="H942" s="48"/>
      <c r="I942" s="38">
        <v>5000</v>
      </c>
      <c r="J942" s="48"/>
      <c r="K942" s="48"/>
      <c r="L942" s="48"/>
      <c r="M942" s="48"/>
      <c r="N942" s="48"/>
      <c r="O942" s="50"/>
      <c r="P942" s="52"/>
    </row>
    <row r="943" spans="1:16" ht="15" customHeight="1">
      <c r="A943" s="49" t="s">
        <v>2199</v>
      </c>
      <c r="B943" s="49" t="s">
        <v>390</v>
      </c>
      <c r="C943" s="51" t="s">
        <v>391</v>
      </c>
      <c r="D943" s="49" t="s">
        <v>4071</v>
      </c>
      <c r="E943" s="47" t="s">
        <v>392</v>
      </c>
      <c r="F943" s="47" t="s">
        <v>393</v>
      </c>
      <c r="G943" s="47" t="s">
        <v>394</v>
      </c>
      <c r="H943" s="47" t="s">
        <v>3220</v>
      </c>
      <c r="I943" s="39">
        <v>30</v>
      </c>
      <c r="J943" s="47" t="s">
        <v>3881</v>
      </c>
      <c r="K943" s="47" t="s">
        <v>3103</v>
      </c>
      <c r="L943" s="47" t="s">
        <v>2130</v>
      </c>
      <c r="M943" s="47">
        <v>2</v>
      </c>
      <c r="N943" s="47" t="s">
        <v>395</v>
      </c>
      <c r="O943" s="49"/>
      <c r="P943" s="51"/>
    </row>
    <row r="944" spans="1:16" ht="15.75" thickBot="1">
      <c r="A944" s="50"/>
      <c r="B944" s="50"/>
      <c r="C944" s="52"/>
      <c r="D944" s="50"/>
      <c r="E944" s="48"/>
      <c r="F944" s="48"/>
      <c r="G944" s="48"/>
      <c r="H944" s="48"/>
      <c r="I944" s="38">
        <v>10</v>
      </c>
      <c r="J944" s="48"/>
      <c r="K944" s="48"/>
      <c r="L944" s="48"/>
      <c r="M944" s="48"/>
      <c r="N944" s="48"/>
      <c r="O944" s="50"/>
      <c r="P944" s="52"/>
    </row>
    <row r="945" spans="1:16" ht="15" customHeight="1">
      <c r="A945" s="49" t="s">
        <v>396</v>
      </c>
      <c r="B945" s="49"/>
      <c r="C945" s="51" t="s">
        <v>397</v>
      </c>
      <c r="D945" s="49" t="s">
        <v>2470</v>
      </c>
      <c r="E945" s="47" t="s">
        <v>398</v>
      </c>
      <c r="F945" s="47" t="s">
        <v>1231</v>
      </c>
      <c r="G945" s="47" t="s">
        <v>399</v>
      </c>
      <c r="H945" s="47" t="s">
        <v>400</v>
      </c>
      <c r="I945" s="39">
        <v>35</v>
      </c>
      <c r="J945" s="47">
        <v>1</v>
      </c>
      <c r="K945" s="47" t="s">
        <v>2187</v>
      </c>
      <c r="L945" s="47" t="s">
        <v>2202</v>
      </c>
      <c r="M945" s="47">
        <v>1</v>
      </c>
      <c r="N945" s="47" t="s">
        <v>401</v>
      </c>
      <c r="O945" s="49"/>
      <c r="P945" s="51"/>
    </row>
    <row r="946" spans="1:16" ht="15.75" thickBot="1">
      <c r="A946" s="50"/>
      <c r="B946" s="50"/>
      <c r="C946" s="52"/>
      <c r="D946" s="50"/>
      <c r="E946" s="48"/>
      <c r="F946" s="48"/>
      <c r="G946" s="48"/>
      <c r="H946" s="48"/>
      <c r="I946" s="38">
        <v>30</v>
      </c>
      <c r="J946" s="48"/>
      <c r="K946" s="48"/>
      <c r="L946" s="48"/>
      <c r="M946" s="48"/>
      <c r="N946" s="48"/>
      <c r="O946" s="50"/>
      <c r="P946" s="52"/>
    </row>
    <row r="947" spans="1:16" ht="15.75" thickBot="1">
      <c r="A947" s="6" t="s">
        <v>402</v>
      </c>
      <c r="B947" s="10"/>
      <c r="C947" s="11" t="s">
        <v>403</v>
      </c>
      <c r="D947" s="10" t="s">
        <v>2134</v>
      </c>
      <c r="E947" s="38">
        <v>43</v>
      </c>
      <c r="F947" s="38" t="s">
        <v>3939</v>
      </c>
      <c r="G947" s="38" t="s">
        <v>2184</v>
      </c>
      <c r="H947" s="38" t="s">
        <v>2129</v>
      </c>
      <c r="I947" s="38" t="s">
        <v>2124</v>
      </c>
      <c r="J947" s="38"/>
      <c r="K947" s="38"/>
      <c r="L947" s="38" t="s">
        <v>2125</v>
      </c>
      <c r="M947" s="38">
        <v>1</v>
      </c>
      <c r="N947" s="38"/>
      <c r="O947" s="10"/>
      <c r="P947" s="25" t="str">
        <f>HYPERLINK("http://biade.itrust.de/biade/lpext.dll?f=id&amp;id=biadb%3Ar%3A492147&amp;t=main-h.htm","492147")</f>
        <v>492147</v>
      </c>
    </row>
    <row r="948" spans="1:16" ht="16.5" thickBot="1">
      <c r="A948" s="6" t="s">
        <v>404</v>
      </c>
      <c r="B948" s="10" t="s">
        <v>405</v>
      </c>
      <c r="C948" s="11" t="s">
        <v>406</v>
      </c>
      <c r="D948" s="10" t="s">
        <v>1229</v>
      </c>
      <c r="E948" s="38" t="s">
        <v>407</v>
      </c>
      <c r="F948" s="38" t="s">
        <v>1231</v>
      </c>
      <c r="G948" s="38" t="s">
        <v>408</v>
      </c>
      <c r="H948" s="38" t="s">
        <v>1232</v>
      </c>
      <c r="I948" s="38" t="s">
        <v>2124</v>
      </c>
      <c r="J948" s="38"/>
      <c r="K948" s="38" t="s">
        <v>2187</v>
      </c>
      <c r="L948" s="38" t="s">
        <v>2165</v>
      </c>
      <c r="M948" s="38"/>
      <c r="N948" s="38"/>
      <c r="O948" s="10"/>
      <c r="P948" s="25" t="str">
        <f>HYPERLINK("http://biade.itrust.de/biade/lpext.dll?f=id&amp;id=biadb%3Ar%3A105337&amp;t=main-h.htm","105337")</f>
        <v>105337</v>
      </c>
    </row>
    <row r="949" spans="1:16" ht="15.75" thickBot="1">
      <c r="A949" s="17" t="s">
        <v>409</v>
      </c>
      <c r="B949" s="10" t="s">
        <v>1096</v>
      </c>
      <c r="C949" s="11" t="s">
        <v>410</v>
      </c>
      <c r="D949" s="10" t="s">
        <v>1229</v>
      </c>
      <c r="E949" s="38" t="s">
        <v>411</v>
      </c>
      <c r="F949" s="38" t="s">
        <v>1259</v>
      </c>
      <c r="G949" s="38" t="s">
        <v>2183</v>
      </c>
      <c r="H949" s="38" t="s">
        <v>1245</v>
      </c>
      <c r="I949" s="38" t="s">
        <v>2124</v>
      </c>
      <c r="J949" s="38"/>
      <c r="K949" s="38" t="s">
        <v>2189</v>
      </c>
      <c r="L949" s="38" t="s">
        <v>2130</v>
      </c>
      <c r="M949" s="38">
        <v>2</v>
      </c>
      <c r="N949" s="38" t="s">
        <v>169</v>
      </c>
      <c r="O949" s="10"/>
      <c r="P949" s="25" t="str">
        <f>HYPERLINK("http://biade.itrust.de/biade/lpext.dll?f=id&amp;id=biadb%3Ar%3A022560&amp;t=main-h.htm","22560")</f>
        <v>22560</v>
      </c>
    </row>
    <row r="950" spans="1:16" ht="15.75" thickBot="1">
      <c r="A950" s="17" t="s">
        <v>412</v>
      </c>
      <c r="B950" s="10" t="s">
        <v>1095</v>
      </c>
      <c r="C950" s="11" t="s">
        <v>413</v>
      </c>
      <c r="D950" s="10" t="s">
        <v>1229</v>
      </c>
      <c r="E950" s="38" t="s">
        <v>411</v>
      </c>
      <c r="F950" s="38" t="s">
        <v>1259</v>
      </c>
      <c r="G950" s="38" t="s">
        <v>2183</v>
      </c>
      <c r="H950" s="38" t="s">
        <v>3220</v>
      </c>
      <c r="I950" s="38" t="s">
        <v>2124</v>
      </c>
      <c r="J950" s="38"/>
      <c r="K950" s="38" t="s">
        <v>2189</v>
      </c>
      <c r="L950" s="38" t="s">
        <v>2130</v>
      </c>
      <c r="M950" s="38">
        <v>2</v>
      </c>
      <c r="N950" s="38" t="s">
        <v>414</v>
      </c>
      <c r="O950" s="10"/>
      <c r="P950" s="25" t="str">
        <f>HYPERLINK("http://biade.itrust.de/biade/lpext.dll?f=id&amp;id=biadb%3Ar%3A018270&amp;t=main-h.htm","18270")</f>
        <v>18270</v>
      </c>
    </row>
    <row r="951" spans="1:16" ht="15.75" thickBot="1">
      <c r="A951" s="17" t="s">
        <v>415</v>
      </c>
      <c r="B951" s="10" t="s">
        <v>1094</v>
      </c>
      <c r="C951" s="11" t="s">
        <v>416</v>
      </c>
      <c r="D951" s="10" t="s">
        <v>1229</v>
      </c>
      <c r="E951" s="38" t="s">
        <v>411</v>
      </c>
      <c r="F951" s="38" t="s">
        <v>1259</v>
      </c>
      <c r="G951" s="38" t="s">
        <v>2183</v>
      </c>
      <c r="H951" s="38" t="s">
        <v>3220</v>
      </c>
      <c r="I951" s="38" t="s">
        <v>2124</v>
      </c>
      <c r="J951" s="38"/>
      <c r="K951" s="38" t="s">
        <v>2189</v>
      </c>
      <c r="L951" s="38" t="s">
        <v>2130</v>
      </c>
      <c r="M951" s="38">
        <v>2</v>
      </c>
      <c r="N951" s="38" t="s">
        <v>417</v>
      </c>
      <c r="O951" s="10"/>
      <c r="P951" s="25" t="str">
        <f>HYPERLINK("http://biade.itrust.de/biade/lpext.dll?f=id&amp;id=biadb%3Ar%3A017040&amp;t=main-h.htm","17040")</f>
        <v>17040</v>
      </c>
    </row>
    <row r="952" spans="1:16" ht="26.25" thickBot="1">
      <c r="A952" s="6" t="s">
        <v>418</v>
      </c>
      <c r="B952" s="10" t="s">
        <v>1093</v>
      </c>
      <c r="C952" s="11" t="s">
        <v>419</v>
      </c>
      <c r="D952" s="10"/>
      <c r="E952" s="38"/>
      <c r="F952" s="38"/>
      <c r="G952" s="38"/>
      <c r="H952" s="38" t="s">
        <v>2123</v>
      </c>
      <c r="I952" s="38" t="s">
        <v>2124</v>
      </c>
      <c r="J952" s="38"/>
      <c r="K952" s="38"/>
      <c r="L952" s="38" t="s">
        <v>2165</v>
      </c>
      <c r="M952" s="38">
        <v>3</v>
      </c>
      <c r="N952" s="38"/>
      <c r="O952" s="10"/>
      <c r="P952" s="11"/>
    </row>
    <row r="953" spans="1:16" ht="15.75" thickBot="1">
      <c r="A953" s="6" t="s">
        <v>2357</v>
      </c>
      <c r="B953" s="10" t="s">
        <v>2121</v>
      </c>
      <c r="C953" s="11" t="s">
        <v>2359</v>
      </c>
      <c r="D953" s="10" t="s">
        <v>3961</v>
      </c>
      <c r="E953" s="38" t="s">
        <v>2360</v>
      </c>
      <c r="F953" s="38" t="s">
        <v>2361</v>
      </c>
      <c r="G953" s="38" t="s">
        <v>2362</v>
      </c>
      <c r="H953" s="38" t="s">
        <v>3220</v>
      </c>
      <c r="I953" s="38" t="s">
        <v>2124</v>
      </c>
      <c r="J953" s="38"/>
      <c r="K953" s="38"/>
      <c r="L953" s="38" t="s">
        <v>2165</v>
      </c>
      <c r="M953" s="38">
        <v>3</v>
      </c>
      <c r="N953" s="38"/>
      <c r="O953" s="10"/>
      <c r="P953" s="25" t="str">
        <f>HYPERLINK("http://biade.itrust.de/biade/lpext.dll?f=id&amp;id=biadb%3Ar%3A491325&amp;t=main-h.htm","491325")</f>
        <v>491325</v>
      </c>
    </row>
    <row r="954" spans="1:16" ht="15.75" thickBot="1">
      <c r="A954" s="6" t="s">
        <v>420</v>
      </c>
      <c r="B954" s="10"/>
      <c r="C954" s="11" t="s">
        <v>421</v>
      </c>
      <c r="D954" s="10" t="s">
        <v>3961</v>
      </c>
      <c r="E954" s="38" t="s">
        <v>422</v>
      </c>
      <c r="F954" s="38" t="s">
        <v>2300</v>
      </c>
      <c r="G954" s="38"/>
      <c r="H954" s="38" t="s">
        <v>2164</v>
      </c>
      <c r="I954" s="38" t="s">
        <v>2124</v>
      </c>
      <c r="J954" s="38"/>
      <c r="K954" s="38"/>
      <c r="L954" s="38" t="s">
        <v>2136</v>
      </c>
      <c r="M954" s="38">
        <v>2</v>
      </c>
      <c r="N954" s="38" t="s">
        <v>2144</v>
      </c>
      <c r="O954" s="10"/>
      <c r="P954" s="25" t="str">
        <f>HYPERLINK("http://biade.itrust.de/biade/lpext.dll?f=id&amp;id=biadb%3Ar%3A003280&amp;t=main-h.htm","3280")</f>
        <v>3280</v>
      </c>
    </row>
    <row r="955" spans="1:16" ht="15.75" thickBot="1">
      <c r="A955" s="6" t="s">
        <v>423</v>
      </c>
      <c r="B955" s="10" t="s">
        <v>424</v>
      </c>
      <c r="C955" s="11" t="s">
        <v>425</v>
      </c>
      <c r="D955" s="10" t="s">
        <v>3961</v>
      </c>
      <c r="E955" s="38" t="s">
        <v>426</v>
      </c>
      <c r="F955" s="38" t="s">
        <v>427</v>
      </c>
      <c r="G955" s="38"/>
      <c r="H955" s="38" t="s">
        <v>2129</v>
      </c>
      <c r="I955" s="38" t="s">
        <v>2124</v>
      </c>
      <c r="J955" s="38"/>
      <c r="K955" s="38"/>
      <c r="L955" s="38" t="s">
        <v>2136</v>
      </c>
      <c r="M955" s="38">
        <v>3</v>
      </c>
      <c r="N955" s="38" t="s">
        <v>2144</v>
      </c>
      <c r="O955" s="10"/>
      <c r="P955" s="25" t="str">
        <f>HYPERLINK("http://biade.itrust.de/biade/lpext.dll?f=id&amp;id=biadb%3Ar%3A494843&amp;t=main-h.htm","494843")</f>
        <v>494843</v>
      </c>
    </row>
    <row r="956" spans="1:16" ht="15.75" thickBot="1">
      <c r="A956" s="6" t="s">
        <v>428</v>
      </c>
      <c r="B956" s="10" t="s">
        <v>429</v>
      </c>
      <c r="C956" s="11" t="s">
        <v>430</v>
      </c>
      <c r="D956" s="10" t="s">
        <v>3961</v>
      </c>
      <c r="E956" s="38" t="s">
        <v>422</v>
      </c>
      <c r="F956" s="38" t="s">
        <v>2300</v>
      </c>
      <c r="G956" s="38"/>
      <c r="H956" s="38" t="s">
        <v>2164</v>
      </c>
      <c r="I956" s="38" t="s">
        <v>2124</v>
      </c>
      <c r="J956" s="38"/>
      <c r="K956" s="38"/>
      <c r="L956" s="38" t="s">
        <v>2136</v>
      </c>
      <c r="M956" s="38"/>
      <c r="N956" s="38" t="s">
        <v>2144</v>
      </c>
      <c r="O956" s="10"/>
      <c r="P956" s="25" t="str">
        <f>HYPERLINK("http://biade.itrust.de/biade/lpext.dll?f=id&amp;id=biadb%3Ar%3A004790&amp;t=main-h.htm","4790")</f>
        <v>4790</v>
      </c>
    </row>
    <row r="957" spans="1:16" ht="15.75" thickBot="1">
      <c r="A957" s="6" t="s">
        <v>431</v>
      </c>
      <c r="B957" s="10" t="s">
        <v>2132</v>
      </c>
      <c r="C957" s="11" t="s">
        <v>432</v>
      </c>
      <c r="D957" s="10" t="s">
        <v>2128</v>
      </c>
      <c r="E957" s="38">
        <v>22</v>
      </c>
      <c r="F957" s="38">
        <v>36</v>
      </c>
      <c r="G957" s="38"/>
      <c r="H957" s="38" t="s">
        <v>2164</v>
      </c>
      <c r="I957" s="38" t="s">
        <v>2124</v>
      </c>
      <c r="J957" s="38"/>
      <c r="K957" s="38"/>
      <c r="L957" s="38" t="s">
        <v>2165</v>
      </c>
      <c r="M957" s="38">
        <v>1</v>
      </c>
      <c r="N957" s="38" t="s">
        <v>433</v>
      </c>
      <c r="O957" s="10"/>
      <c r="P957" s="25" t="str">
        <f>HYPERLINK("http://biade.itrust.de/biade/lpext.dll?f=id&amp;id=biadb%3Ar%3A003030&amp;t=main-h.htm","3030")</f>
        <v>3030</v>
      </c>
    </row>
    <row r="958" spans="1:16" ht="15.75" thickBot="1">
      <c r="A958" s="6" t="s">
        <v>434</v>
      </c>
      <c r="B958" s="10" t="s">
        <v>2121</v>
      </c>
      <c r="C958" s="11" t="s">
        <v>435</v>
      </c>
      <c r="D958" s="10" t="s">
        <v>1242</v>
      </c>
      <c r="E958" s="38" t="s">
        <v>436</v>
      </c>
      <c r="F958" s="38" t="s">
        <v>1244</v>
      </c>
      <c r="G958" s="38"/>
      <c r="H958" s="38" t="s">
        <v>2164</v>
      </c>
      <c r="I958" s="38" t="s">
        <v>2124</v>
      </c>
      <c r="J958" s="38"/>
      <c r="K958" s="38"/>
      <c r="L958" s="38" t="s">
        <v>2136</v>
      </c>
      <c r="M958" s="38">
        <v>2</v>
      </c>
      <c r="N958" s="38" t="s">
        <v>4043</v>
      </c>
      <c r="O958" s="10"/>
      <c r="P958" s="25" t="str">
        <f>HYPERLINK("http://biade.itrust.de/biade/lpext.dll?f=id&amp;id=biadb%3Ar%3A531226&amp;t=main-h.htm","531226")</f>
        <v>531226</v>
      </c>
    </row>
    <row r="959" spans="1:16" ht="15">
      <c r="A959" s="5" t="s">
        <v>437</v>
      </c>
      <c r="B959" s="49" t="s">
        <v>2121</v>
      </c>
      <c r="C959" s="51" t="s">
        <v>438</v>
      </c>
      <c r="D959" s="49" t="s">
        <v>3961</v>
      </c>
      <c r="E959" s="47" t="s">
        <v>2299</v>
      </c>
      <c r="F959" s="47" t="s">
        <v>439</v>
      </c>
      <c r="G959" s="47"/>
      <c r="H959" s="47" t="s">
        <v>2164</v>
      </c>
      <c r="I959" s="47" t="s">
        <v>2124</v>
      </c>
      <c r="J959" s="47"/>
      <c r="K959" s="47"/>
      <c r="L959" s="47" t="s">
        <v>2136</v>
      </c>
      <c r="M959" s="47">
        <v>2</v>
      </c>
      <c r="N959" s="47" t="s">
        <v>2144</v>
      </c>
      <c r="O959" s="49"/>
      <c r="P959" s="51"/>
    </row>
    <row r="960" spans="1:16" ht="15.75" thickBot="1">
      <c r="A960" s="6" t="s">
        <v>2160</v>
      </c>
      <c r="B960" s="50"/>
      <c r="C960" s="52"/>
      <c r="D960" s="50"/>
      <c r="E960" s="48"/>
      <c r="F960" s="48"/>
      <c r="G960" s="48"/>
      <c r="H960" s="48"/>
      <c r="I960" s="48"/>
      <c r="J960" s="48"/>
      <c r="K960" s="48"/>
      <c r="L960" s="48"/>
      <c r="M960" s="48"/>
      <c r="N960" s="48"/>
      <c r="O960" s="50"/>
      <c r="P960" s="52"/>
    </row>
    <row r="961" spans="1:16" ht="15.75" thickBot="1">
      <c r="A961" s="6" t="s">
        <v>440</v>
      </c>
      <c r="B961" s="10" t="s">
        <v>2121</v>
      </c>
      <c r="C961" s="11" t="s">
        <v>441</v>
      </c>
      <c r="D961" s="10" t="s">
        <v>3961</v>
      </c>
      <c r="E961" s="38" t="s">
        <v>2299</v>
      </c>
      <c r="F961" s="38" t="s">
        <v>439</v>
      </c>
      <c r="G961" s="38"/>
      <c r="H961" s="38" t="s">
        <v>230</v>
      </c>
      <c r="I961" s="38" t="s">
        <v>2124</v>
      </c>
      <c r="J961" s="38"/>
      <c r="K961" s="38"/>
      <c r="L961" s="38" t="s">
        <v>2136</v>
      </c>
      <c r="M961" s="38">
        <v>2</v>
      </c>
      <c r="N961" s="38" t="s">
        <v>2144</v>
      </c>
      <c r="O961" s="10"/>
      <c r="P961" s="25" t="str">
        <f>HYPERLINK("http://biade.itrust.de/biade/lpext.dll?f=id&amp;id=biadb%3Ar%3A002470&amp;t=main-h.htm","2470")</f>
        <v>2470</v>
      </c>
    </row>
    <row r="962" spans="1:16" ht="15">
      <c r="A962" s="49" t="s">
        <v>442</v>
      </c>
      <c r="B962" s="7" t="s">
        <v>443</v>
      </c>
      <c r="C962" s="51" t="s">
        <v>445</v>
      </c>
      <c r="D962" s="49" t="s">
        <v>2128</v>
      </c>
      <c r="E962" s="47" t="s">
        <v>1611</v>
      </c>
      <c r="F962" s="47">
        <v>20</v>
      </c>
      <c r="G962" s="47"/>
      <c r="H962" s="47" t="s">
        <v>2164</v>
      </c>
      <c r="I962" s="47" t="s">
        <v>2124</v>
      </c>
      <c r="J962" s="47"/>
      <c r="K962" s="47"/>
      <c r="L962" s="47" t="s">
        <v>2136</v>
      </c>
      <c r="M962" s="47">
        <v>3</v>
      </c>
      <c r="N962" s="47" t="s">
        <v>2144</v>
      </c>
      <c r="O962" s="49"/>
      <c r="P962" s="51"/>
    </row>
    <row r="963" spans="1:16" ht="15.75" customHeight="1" thickBot="1">
      <c r="A963" s="50"/>
      <c r="B963" s="10" t="s">
        <v>444</v>
      </c>
      <c r="C963" s="52"/>
      <c r="D963" s="50"/>
      <c r="E963" s="48"/>
      <c r="F963" s="48"/>
      <c r="G963" s="48"/>
      <c r="H963" s="48"/>
      <c r="I963" s="48"/>
      <c r="J963" s="48"/>
      <c r="K963" s="48"/>
      <c r="L963" s="48"/>
      <c r="M963" s="48"/>
      <c r="N963" s="48"/>
      <c r="O963" s="50"/>
      <c r="P963" s="52"/>
    </row>
    <row r="964" spans="1:16" ht="15.75" thickBot="1">
      <c r="A964" s="6" t="s">
        <v>446</v>
      </c>
      <c r="B964" s="10" t="s">
        <v>4217</v>
      </c>
      <c r="C964" s="11" t="s">
        <v>447</v>
      </c>
      <c r="D964" s="10" t="s">
        <v>2141</v>
      </c>
      <c r="E964" s="38" t="s">
        <v>448</v>
      </c>
      <c r="F964" s="38" t="s">
        <v>449</v>
      </c>
      <c r="G964" s="38"/>
      <c r="H964" s="38" t="s">
        <v>2164</v>
      </c>
      <c r="I964" s="38" t="s">
        <v>2124</v>
      </c>
      <c r="J964" s="38"/>
      <c r="K964" s="38"/>
      <c r="L964" s="38" t="s">
        <v>2136</v>
      </c>
      <c r="M964" s="38">
        <v>2</v>
      </c>
      <c r="N964" s="38"/>
      <c r="O964" s="10"/>
      <c r="P964" s="25" t="str">
        <f>HYPERLINK("http://biade.itrust.de/biade/lpext.dll?f=id&amp;id=biadb%3Ar%3A492119&amp;t=main-h.htm","492119")</f>
        <v>492119</v>
      </c>
    </row>
    <row r="965" spans="1:16" ht="15.75" thickBot="1">
      <c r="A965" s="6" t="s">
        <v>450</v>
      </c>
      <c r="B965" s="10" t="s">
        <v>2121</v>
      </c>
      <c r="C965" s="11" t="s">
        <v>451</v>
      </c>
      <c r="D965" s="10" t="s">
        <v>452</v>
      </c>
      <c r="E965" s="38" t="s">
        <v>422</v>
      </c>
      <c r="F965" s="38" t="s">
        <v>453</v>
      </c>
      <c r="G965" s="38"/>
      <c r="H965" s="38" t="s">
        <v>2164</v>
      </c>
      <c r="I965" s="38" t="s">
        <v>2124</v>
      </c>
      <c r="J965" s="38"/>
      <c r="K965" s="38"/>
      <c r="L965" s="38" t="s">
        <v>2136</v>
      </c>
      <c r="M965" s="38">
        <v>1</v>
      </c>
      <c r="N965" s="38" t="s">
        <v>454</v>
      </c>
      <c r="O965" s="10"/>
      <c r="P965" s="25" t="str">
        <f>HYPERLINK("http://biade.itrust.de/biade/lpext.dll?f=id&amp;id=biadb%3Ar%3A001990&amp;t=main-h.htm","1990")</f>
        <v>1990</v>
      </c>
    </row>
    <row r="966" spans="1:16" ht="15">
      <c r="A966" s="5" t="s">
        <v>455</v>
      </c>
      <c r="B966" s="49"/>
      <c r="C966" s="51" t="s">
        <v>456</v>
      </c>
      <c r="D966" s="49" t="s">
        <v>3961</v>
      </c>
      <c r="E966" s="47" t="s">
        <v>2299</v>
      </c>
      <c r="F966" s="47" t="s">
        <v>2300</v>
      </c>
      <c r="G966" s="47"/>
      <c r="H966" s="47" t="s">
        <v>2164</v>
      </c>
      <c r="I966" s="47" t="s">
        <v>2124</v>
      </c>
      <c r="J966" s="47"/>
      <c r="K966" s="47"/>
      <c r="L966" s="47" t="s">
        <v>2136</v>
      </c>
      <c r="M966" s="47">
        <v>2</v>
      </c>
      <c r="N966" s="47" t="s">
        <v>2144</v>
      </c>
      <c r="O966" s="49"/>
      <c r="P966" s="51"/>
    </row>
    <row r="967" spans="1:16" ht="15.75" thickBot="1">
      <c r="A967" s="6" t="s">
        <v>2160</v>
      </c>
      <c r="B967" s="50"/>
      <c r="C967" s="52"/>
      <c r="D967" s="50"/>
      <c r="E967" s="48"/>
      <c r="F967" s="48"/>
      <c r="G967" s="48"/>
      <c r="H967" s="48"/>
      <c r="I967" s="48"/>
      <c r="J967" s="48"/>
      <c r="K967" s="48"/>
      <c r="L967" s="48"/>
      <c r="M967" s="48"/>
      <c r="N967" s="48"/>
      <c r="O967" s="50"/>
      <c r="P967" s="52"/>
    </row>
    <row r="968" spans="1:16" ht="15.75" thickBot="1">
      <c r="A968" s="6" t="s">
        <v>457</v>
      </c>
      <c r="B968" s="10"/>
      <c r="C968" s="11" t="s">
        <v>2298</v>
      </c>
      <c r="D968" s="10" t="s">
        <v>3961</v>
      </c>
      <c r="E968" s="38" t="s">
        <v>2299</v>
      </c>
      <c r="F968" s="38" t="s">
        <v>2300</v>
      </c>
      <c r="G968" s="38"/>
      <c r="H968" s="38" t="s">
        <v>2164</v>
      </c>
      <c r="I968" s="38" t="s">
        <v>2124</v>
      </c>
      <c r="J968" s="38"/>
      <c r="K968" s="38"/>
      <c r="L968" s="38" t="s">
        <v>2136</v>
      </c>
      <c r="M968" s="38">
        <v>2</v>
      </c>
      <c r="N968" s="38" t="s">
        <v>2144</v>
      </c>
      <c r="O968" s="10"/>
      <c r="P968" s="25" t="str">
        <f>HYPERLINK("http://biade.itrust.de/biade/lpext.dll?f=id&amp;id=biadb%3Ar%3A001760&amp;t=main-h.htm","1760")</f>
        <v>1760</v>
      </c>
    </row>
    <row r="969" spans="1:16" ht="15">
      <c r="A969" s="5" t="s">
        <v>458</v>
      </c>
      <c r="B969" s="49" t="s">
        <v>2121</v>
      </c>
      <c r="C969" s="51" t="s">
        <v>459</v>
      </c>
      <c r="D969" s="49"/>
      <c r="E969" s="47"/>
      <c r="F969" s="47"/>
      <c r="G969" s="47"/>
      <c r="H969" s="47" t="s">
        <v>2123</v>
      </c>
      <c r="I969" s="47" t="s">
        <v>2124</v>
      </c>
      <c r="J969" s="47"/>
      <c r="K969" s="47"/>
      <c r="L969" s="47" t="s">
        <v>2125</v>
      </c>
      <c r="M969" s="47" t="s">
        <v>2221</v>
      </c>
      <c r="N969" s="47"/>
      <c r="O969" s="49"/>
      <c r="P969" s="51"/>
    </row>
    <row r="970" spans="1:16" ht="15.75" thickBot="1">
      <c r="A970" s="6" t="s">
        <v>2865</v>
      </c>
      <c r="B970" s="50"/>
      <c r="C970" s="52"/>
      <c r="D970" s="50"/>
      <c r="E970" s="48"/>
      <c r="F970" s="48"/>
      <c r="G970" s="48"/>
      <c r="H970" s="48"/>
      <c r="I970" s="48"/>
      <c r="J970" s="48"/>
      <c r="K970" s="48"/>
      <c r="L970" s="48"/>
      <c r="M970" s="48"/>
      <c r="N970" s="48"/>
      <c r="O970" s="50"/>
      <c r="P970" s="52"/>
    </row>
    <row r="971" spans="1:16" ht="38.25">
      <c r="A971" s="49" t="s">
        <v>460</v>
      </c>
      <c r="B971" s="7" t="s">
        <v>1092</v>
      </c>
      <c r="C971" s="51" t="s">
        <v>462</v>
      </c>
      <c r="D971" s="49" t="s">
        <v>1229</v>
      </c>
      <c r="E971" s="47" t="s">
        <v>463</v>
      </c>
      <c r="F971" s="47" t="s">
        <v>464</v>
      </c>
      <c r="G971" s="47" t="s">
        <v>2362</v>
      </c>
      <c r="H971" s="47" t="s">
        <v>3220</v>
      </c>
      <c r="I971" s="47" t="s">
        <v>2124</v>
      </c>
      <c r="J971" s="47"/>
      <c r="K971" s="47" t="s">
        <v>2157</v>
      </c>
      <c r="L971" s="47" t="s">
        <v>2130</v>
      </c>
      <c r="M971" s="47">
        <v>3</v>
      </c>
      <c r="N971" s="47"/>
      <c r="O971" s="49"/>
      <c r="P971" s="51"/>
    </row>
    <row r="972" spans="1:16" ht="15.75" thickBot="1">
      <c r="A972" s="50"/>
      <c r="B972" s="10" t="s">
        <v>461</v>
      </c>
      <c r="C972" s="52"/>
      <c r="D972" s="50"/>
      <c r="E972" s="48"/>
      <c r="F972" s="48"/>
      <c r="G972" s="48"/>
      <c r="H972" s="48"/>
      <c r="I972" s="48"/>
      <c r="J972" s="48"/>
      <c r="K972" s="48"/>
      <c r="L972" s="48"/>
      <c r="M972" s="48"/>
      <c r="N972" s="48"/>
      <c r="O972" s="50"/>
      <c r="P972" s="52"/>
    </row>
    <row r="973" spans="1:16" ht="15.75" thickBot="1">
      <c r="A973" s="6" t="s">
        <v>465</v>
      </c>
      <c r="B973" s="10" t="s">
        <v>2121</v>
      </c>
      <c r="C973" s="11" t="s">
        <v>466</v>
      </c>
      <c r="D973" s="10"/>
      <c r="E973" s="38"/>
      <c r="F973" s="38"/>
      <c r="G973" s="38"/>
      <c r="H973" s="38" t="s">
        <v>2123</v>
      </c>
      <c r="I973" s="38"/>
      <c r="J973" s="38"/>
      <c r="K973" s="38"/>
      <c r="L973" s="38" t="s">
        <v>2136</v>
      </c>
      <c r="M973" s="38"/>
      <c r="N973" s="38"/>
      <c r="O973" s="10"/>
      <c r="P973" s="11"/>
    </row>
    <row r="974" spans="1:16" ht="15.75" thickBot="1">
      <c r="A974" s="6" t="s">
        <v>988</v>
      </c>
      <c r="B974" s="10" t="s">
        <v>2177</v>
      </c>
      <c r="C974" s="11" t="s">
        <v>467</v>
      </c>
      <c r="D974" s="10"/>
      <c r="E974" s="38"/>
      <c r="F974" s="38"/>
      <c r="G974" s="38"/>
      <c r="H974" s="38" t="s">
        <v>2123</v>
      </c>
      <c r="I974" s="38" t="s">
        <v>2124</v>
      </c>
      <c r="J974" s="38"/>
      <c r="K974" s="38"/>
      <c r="L974" s="38" t="s">
        <v>2125</v>
      </c>
      <c r="M974" s="38" t="s">
        <v>2221</v>
      </c>
      <c r="N974" s="38"/>
      <c r="O974" s="10"/>
      <c r="P974" s="25" t="str">
        <f>HYPERLINK("http://biade.itrust.de/biade/lpext.dll?f=id&amp;id=biadb%3Ar%3A100321&amp;t=main-h.htm","100321")</f>
        <v>100321</v>
      </c>
    </row>
    <row r="975" spans="1:16" ht="15.75" thickBot="1">
      <c r="A975" s="6" t="s">
        <v>468</v>
      </c>
      <c r="B975" s="10" t="s">
        <v>469</v>
      </c>
      <c r="C975" s="11" t="s">
        <v>470</v>
      </c>
      <c r="D975" s="10"/>
      <c r="E975" s="38"/>
      <c r="F975" s="38"/>
      <c r="G975" s="38"/>
      <c r="H975" s="38" t="s">
        <v>2123</v>
      </c>
      <c r="I975" s="38" t="s">
        <v>2124</v>
      </c>
      <c r="J975" s="38"/>
      <c r="K975" s="38"/>
      <c r="L975" s="38" t="s">
        <v>2125</v>
      </c>
      <c r="M975" s="38">
        <v>1</v>
      </c>
      <c r="N975" s="38"/>
      <c r="O975" s="10"/>
      <c r="P975" s="25" t="str">
        <f>HYPERLINK("http://biade.itrust.de/biade/lpext.dll?f=id&amp;id=biadb%3Ar%3A491476&amp;t=main-h.htm","491476")</f>
        <v>491476</v>
      </c>
    </row>
    <row r="976" spans="1:16" ht="15.75" thickBot="1">
      <c r="A976" s="6" t="s">
        <v>471</v>
      </c>
      <c r="B976" s="10" t="s">
        <v>472</v>
      </c>
      <c r="C976" s="11" t="s">
        <v>473</v>
      </c>
      <c r="D976" s="10" t="s">
        <v>2134</v>
      </c>
      <c r="E976" s="38">
        <v>36</v>
      </c>
      <c r="F976" s="38">
        <v>26</v>
      </c>
      <c r="G976" s="38"/>
      <c r="H976" s="38" t="s">
        <v>2123</v>
      </c>
      <c r="I976" s="38" t="s">
        <v>2124</v>
      </c>
      <c r="J976" s="38"/>
      <c r="K976" s="38"/>
      <c r="L976" s="38" t="s">
        <v>2165</v>
      </c>
      <c r="M976" s="38">
        <v>1</v>
      </c>
      <c r="N976" s="38"/>
      <c r="O976" s="10"/>
      <c r="P976" s="25" t="str">
        <f>HYPERLINK("http://biade.itrust.de/biade/lpext.dll?f=id&amp;id=biadb%3Ar%3A027100&amp;t=main-h.htm","27100")</f>
        <v>27100</v>
      </c>
    </row>
    <row r="977" spans="1:16" ht="38.25" customHeight="1">
      <c r="A977" s="49" t="s">
        <v>474</v>
      </c>
      <c r="B977" s="7" t="s">
        <v>1091</v>
      </c>
      <c r="C977" s="51" t="s">
        <v>475</v>
      </c>
      <c r="D977" s="49"/>
      <c r="E977" s="47"/>
      <c r="F977" s="47"/>
      <c r="G977" s="47"/>
      <c r="H977" s="47" t="s">
        <v>2123</v>
      </c>
      <c r="I977" s="47" t="s">
        <v>2124</v>
      </c>
      <c r="J977" s="47"/>
      <c r="K977" s="47"/>
      <c r="L977" s="47" t="s">
        <v>2125</v>
      </c>
      <c r="M977" s="47" t="s">
        <v>2221</v>
      </c>
      <c r="N977" s="47"/>
      <c r="O977" s="49"/>
      <c r="P977" s="51"/>
    </row>
    <row r="978" spans="1:16" ht="15.75" thickBot="1">
      <c r="A978" s="50"/>
      <c r="B978" s="10" t="s">
        <v>1262</v>
      </c>
      <c r="C978" s="52"/>
      <c r="D978" s="50"/>
      <c r="E978" s="48"/>
      <c r="F978" s="48"/>
      <c r="G978" s="48"/>
      <c r="H978" s="48"/>
      <c r="I978" s="48"/>
      <c r="J978" s="48"/>
      <c r="K978" s="48"/>
      <c r="L978" s="48"/>
      <c r="M978" s="48"/>
      <c r="N978" s="48"/>
      <c r="O978" s="50"/>
      <c r="P978" s="52"/>
    </row>
    <row r="979" spans="1:16" ht="15.75" thickBot="1">
      <c r="A979" s="6" t="s">
        <v>476</v>
      </c>
      <c r="B979" s="10" t="s">
        <v>216</v>
      </c>
      <c r="C979" s="11" t="s">
        <v>477</v>
      </c>
      <c r="D979" s="10" t="s">
        <v>3795</v>
      </c>
      <c r="E979" s="38" t="s">
        <v>218</v>
      </c>
      <c r="F979" s="38" t="s">
        <v>478</v>
      </c>
      <c r="G979" s="38"/>
      <c r="H979" s="38" t="s">
        <v>3979</v>
      </c>
      <c r="I979" s="38" t="s">
        <v>2124</v>
      </c>
      <c r="J979" s="38"/>
      <c r="K979" s="38"/>
      <c r="L979" s="38" t="s">
        <v>2207</v>
      </c>
      <c r="M979" s="38">
        <v>2</v>
      </c>
      <c r="N979" s="38"/>
      <c r="O979" s="10"/>
      <c r="P979" s="25" t="str">
        <f>HYPERLINK("http://biade.itrust.de/biade/lpext.dll?f=id&amp;id=biadb%3Ar%3A008010&amp;t=main-h.htm","8010")</f>
        <v>8010</v>
      </c>
    </row>
    <row r="980" spans="1:16" ht="15" customHeight="1">
      <c r="A980" s="49" t="s">
        <v>479</v>
      </c>
      <c r="B980" s="7" t="s">
        <v>480</v>
      </c>
      <c r="C980" s="51" t="s">
        <v>481</v>
      </c>
      <c r="D980" s="49" t="s">
        <v>3795</v>
      </c>
      <c r="E980" s="47" t="s">
        <v>3043</v>
      </c>
      <c r="F980" s="47" t="s">
        <v>482</v>
      </c>
      <c r="G980" s="47"/>
      <c r="H980" s="47" t="s">
        <v>3220</v>
      </c>
      <c r="I980" s="47" t="s">
        <v>2124</v>
      </c>
      <c r="J980" s="47"/>
      <c r="K980" s="47"/>
      <c r="L980" s="47" t="s">
        <v>2136</v>
      </c>
      <c r="M980" s="47">
        <v>1</v>
      </c>
      <c r="N980" s="47"/>
      <c r="O980" s="49"/>
      <c r="P980" s="51"/>
    </row>
    <row r="981" spans="1:16" ht="15.75" thickBot="1">
      <c r="A981" s="50"/>
      <c r="B981" s="10" t="s">
        <v>1262</v>
      </c>
      <c r="C981" s="52"/>
      <c r="D981" s="50"/>
      <c r="E981" s="48"/>
      <c r="F981" s="48"/>
      <c r="G981" s="48"/>
      <c r="H981" s="48"/>
      <c r="I981" s="48"/>
      <c r="J981" s="48"/>
      <c r="K981" s="48"/>
      <c r="L981" s="48"/>
      <c r="M981" s="48"/>
      <c r="N981" s="48"/>
      <c r="O981" s="50"/>
      <c r="P981" s="52"/>
    </row>
    <row r="982" spans="1:16" ht="15.75" thickBot="1">
      <c r="A982" s="6" t="s">
        <v>483</v>
      </c>
      <c r="B982" s="10" t="s">
        <v>2132</v>
      </c>
      <c r="C982" s="11" t="s">
        <v>484</v>
      </c>
      <c r="D982" s="10" t="s">
        <v>2128</v>
      </c>
      <c r="E982" s="38" t="s">
        <v>1890</v>
      </c>
      <c r="F982" s="38" t="s">
        <v>2163</v>
      </c>
      <c r="G982" s="38"/>
      <c r="H982" s="38" t="s">
        <v>2164</v>
      </c>
      <c r="I982" s="38" t="s">
        <v>2124</v>
      </c>
      <c r="J982" s="38"/>
      <c r="K982" s="38"/>
      <c r="L982" s="38" t="s">
        <v>2136</v>
      </c>
      <c r="M982" s="38">
        <v>1</v>
      </c>
      <c r="N982" s="38"/>
      <c r="O982" s="10"/>
      <c r="P982" s="25" t="str">
        <f>HYPERLINK("http://biade.itrust.de/biade/lpext.dll?f=id&amp;id=biadb%3Ar%3A005780&amp;t=main-h.htm","5780")</f>
        <v>5780</v>
      </c>
    </row>
    <row r="983" spans="1:16" ht="15.75" thickBot="1">
      <c r="A983" s="6" t="s">
        <v>485</v>
      </c>
      <c r="B983" s="10" t="s">
        <v>2121</v>
      </c>
      <c r="C983" s="11" t="s">
        <v>486</v>
      </c>
      <c r="D983" s="10" t="s">
        <v>2128</v>
      </c>
      <c r="E983" s="38" t="s">
        <v>2149</v>
      </c>
      <c r="F983" s="38">
        <v>24</v>
      </c>
      <c r="G983" s="38"/>
      <c r="H983" s="38" t="s">
        <v>3054</v>
      </c>
      <c r="I983" s="38" t="s">
        <v>2124</v>
      </c>
      <c r="J983" s="38"/>
      <c r="K983" s="38"/>
      <c r="L983" s="38" t="s">
        <v>2136</v>
      </c>
      <c r="M983" s="38">
        <v>1</v>
      </c>
      <c r="N983" s="38" t="s">
        <v>2144</v>
      </c>
      <c r="O983" s="10"/>
      <c r="P983" s="25" t="str">
        <f>HYPERLINK("http://biade.itrust.de/biade/lpext.dll?f=id&amp;id=biadb%3Ar%3A005270&amp;t=main-h.htm","5270")</f>
        <v>5270</v>
      </c>
    </row>
    <row r="984" spans="1:16" ht="15.75" thickBot="1">
      <c r="A984" s="6" t="s">
        <v>989</v>
      </c>
      <c r="B984" s="10" t="s">
        <v>2121</v>
      </c>
      <c r="C984" s="11" t="s">
        <v>487</v>
      </c>
      <c r="D984" s="10" t="s">
        <v>2128</v>
      </c>
      <c r="E984" s="38" t="s">
        <v>1890</v>
      </c>
      <c r="F984" s="38"/>
      <c r="G984" s="38"/>
      <c r="H984" s="38" t="s">
        <v>2164</v>
      </c>
      <c r="I984" s="38" t="s">
        <v>2124</v>
      </c>
      <c r="J984" s="38"/>
      <c r="K984" s="38"/>
      <c r="L984" s="38" t="s">
        <v>2136</v>
      </c>
      <c r="M984" s="38">
        <v>1</v>
      </c>
      <c r="N984" s="38" t="s">
        <v>2144</v>
      </c>
      <c r="O984" s="10"/>
      <c r="P984" s="25" t="str">
        <f>HYPERLINK("http://biade.itrust.de/biade/lpext.dll?f=id&amp;id=biadb%3Ar%3A003710&amp;t=main-h.htm","3710")</f>
        <v>3710</v>
      </c>
    </row>
    <row r="985" spans="1:16" ht="15">
      <c r="A985" s="5" t="s">
        <v>3799</v>
      </c>
      <c r="B985" s="49" t="s">
        <v>2121</v>
      </c>
      <c r="C985" s="51" t="s">
        <v>3800</v>
      </c>
      <c r="D985" s="49" t="s">
        <v>2128</v>
      </c>
      <c r="E985" s="47" t="s">
        <v>1890</v>
      </c>
      <c r="F985" s="47"/>
      <c r="G985" s="47"/>
      <c r="H985" s="47" t="s">
        <v>2164</v>
      </c>
      <c r="I985" s="47" t="s">
        <v>2124</v>
      </c>
      <c r="J985" s="47"/>
      <c r="K985" s="47"/>
      <c r="L985" s="47" t="s">
        <v>2136</v>
      </c>
      <c r="M985" s="47">
        <v>1</v>
      </c>
      <c r="N985" s="47" t="s">
        <v>2144</v>
      </c>
      <c r="O985" s="49"/>
      <c r="P985" s="51"/>
    </row>
    <row r="986" spans="1:16" ht="15.75" thickBot="1">
      <c r="A986" s="6" t="s">
        <v>2160</v>
      </c>
      <c r="B986" s="50"/>
      <c r="C986" s="52"/>
      <c r="D986" s="50"/>
      <c r="E986" s="48"/>
      <c r="F986" s="48"/>
      <c r="G986" s="48"/>
      <c r="H986" s="48"/>
      <c r="I986" s="48"/>
      <c r="J986" s="48"/>
      <c r="K986" s="48"/>
      <c r="L986" s="48"/>
      <c r="M986" s="48"/>
      <c r="N986" s="48"/>
      <c r="O986" s="50"/>
      <c r="P986" s="52"/>
    </row>
    <row r="987" spans="1:16" ht="15">
      <c r="A987" s="49" t="s">
        <v>3801</v>
      </c>
      <c r="B987" s="49" t="s">
        <v>2121</v>
      </c>
      <c r="C987" s="51" t="s">
        <v>3802</v>
      </c>
      <c r="D987" s="49" t="s">
        <v>1229</v>
      </c>
      <c r="E987" s="47" t="s">
        <v>3803</v>
      </c>
      <c r="F987" s="47" t="s">
        <v>3804</v>
      </c>
      <c r="G987" s="47" t="s">
        <v>2183</v>
      </c>
      <c r="H987" s="47" t="s">
        <v>3220</v>
      </c>
      <c r="I987" s="39" t="s">
        <v>3991</v>
      </c>
      <c r="J987" s="47">
        <v>4</v>
      </c>
      <c r="K987" s="47" t="s">
        <v>2157</v>
      </c>
      <c r="L987" s="47" t="s">
        <v>2211</v>
      </c>
      <c r="M987" s="47">
        <v>2</v>
      </c>
      <c r="N987" s="47" t="s">
        <v>3805</v>
      </c>
      <c r="O987" s="49"/>
      <c r="P987" s="51"/>
    </row>
    <row r="988" spans="1:16" ht="15.75" thickBot="1">
      <c r="A988" s="50"/>
      <c r="B988" s="50"/>
      <c r="C988" s="52"/>
      <c r="D988" s="50"/>
      <c r="E988" s="48"/>
      <c r="F988" s="48"/>
      <c r="G988" s="48"/>
      <c r="H988" s="48"/>
      <c r="I988" s="38" t="s">
        <v>2124</v>
      </c>
      <c r="J988" s="48"/>
      <c r="K988" s="48"/>
      <c r="L988" s="48"/>
      <c r="M988" s="48"/>
      <c r="N988" s="48"/>
      <c r="O988" s="50"/>
      <c r="P988" s="52"/>
    </row>
    <row r="989" spans="1:16" ht="15">
      <c r="A989" s="49" t="s">
        <v>3806</v>
      </c>
      <c r="B989" s="49" t="s">
        <v>2121</v>
      </c>
      <c r="C989" s="51" t="s">
        <v>3807</v>
      </c>
      <c r="D989" s="49" t="s">
        <v>3795</v>
      </c>
      <c r="E989" s="47" t="s">
        <v>3808</v>
      </c>
      <c r="F989" s="47" t="s">
        <v>482</v>
      </c>
      <c r="G989" s="47"/>
      <c r="H989" s="47" t="s">
        <v>2129</v>
      </c>
      <c r="I989" s="39" t="s">
        <v>3809</v>
      </c>
      <c r="J989" s="47"/>
      <c r="K989" s="47"/>
      <c r="L989" s="47" t="s">
        <v>2213</v>
      </c>
      <c r="M989" s="47">
        <v>2</v>
      </c>
      <c r="N989" s="47"/>
      <c r="O989" s="49"/>
      <c r="P989" s="51"/>
    </row>
    <row r="990" spans="1:16" ht="15.75" thickBot="1">
      <c r="A990" s="50"/>
      <c r="B990" s="50"/>
      <c r="C990" s="52"/>
      <c r="D990" s="50"/>
      <c r="E990" s="48"/>
      <c r="F990" s="48"/>
      <c r="G990" s="48"/>
      <c r="H990" s="48"/>
      <c r="I990" s="38" t="s">
        <v>2124</v>
      </c>
      <c r="J990" s="48"/>
      <c r="K990" s="48"/>
      <c r="L990" s="48"/>
      <c r="M990" s="48"/>
      <c r="N990" s="48"/>
      <c r="O990" s="50"/>
      <c r="P990" s="52"/>
    </row>
    <row r="991" spans="1:16" ht="15">
      <c r="A991" s="49" t="s">
        <v>3810</v>
      </c>
      <c r="B991" s="49" t="s">
        <v>2121</v>
      </c>
      <c r="C991" s="51" t="s">
        <v>3811</v>
      </c>
      <c r="D991" s="49" t="s">
        <v>2227</v>
      </c>
      <c r="E991" s="47" t="s">
        <v>213</v>
      </c>
      <c r="F991" s="39" t="s">
        <v>3812</v>
      </c>
      <c r="G991" s="47"/>
      <c r="H991" s="47" t="s">
        <v>762</v>
      </c>
      <c r="I991" s="47" t="s">
        <v>2124</v>
      </c>
      <c r="J991" s="47"/>
      <c r="K991" s="47"/>
      <c r="L991" s="47" t="s">
        <v>2136</v>
      </c>
      <c r="M991" s="47">
        <v>2</v>
      </c>
      <c r="N991" s="47" t="s">
        <v>3813</v>
      </c>
      <c r="O991" s="49"/>
      <c r="P991" s="51"/>
    </row>
    <row r="992" spans="1:16" ht="15.75" thickBot="1">
      <c r="A992" s="50"/>
      <c r="B992" s="50"/>
      <c r="C992" s="52"/>
      <c r="D992" s="50"/>
      <c r="E992" s="48"/>
      <c r="F992" s="38" t="s">
        <v>1259</v>
      </c>
      <c r="G992" s="48"/>
      <c r="H992" s="48"/>
      <c r="I992" s="48"/>
      <c r="J992" s="48"/>
      <c r="K992" s="48"/>
      <c r="L992" s="48"/>
      <c r="M992" s="48"/>
      <c r="N992" s="48"/>
      <c r="O992" s="50"/>
      <c r="P992" s="52"/>
    </row>
    <row r="993" spans="1:16" ht="15" customHeight="1">
      <c r="A993" s="5" t="s">
        <v>3814</v>
      </c>
      <c r="B993" s="49" t="s">
        <v>2132</v>
      </c>
      <c r="C993" s="51" t="s">
        <v>3815</v>
      </c>
      <c r="D993" s="49" t="s">
        <v>1229</v>
      </c>
      <c r="E993" s="47" t="s">
        <v>3816</v>
      </c>
      <c r="F993" s="47" t="s">
        <v>2908</v>
      </c>
      <c r="G993" s="47" t="s">
        <v>3817</v>
      </c>
      <c r="H993" s="47" t="s">
        <v>2156</v>
      </c>
      <c r="I993" s="47" t="s">
        <v>2124</v>
      </c>
      <c r="J993" s="47"/>
      <c r="K993" s="47"/>
      <c r="L993" s="47" t="s">
        <v>2136</v>
      </c>
      <c r="M993" s="47">
        <v>1</v>
      </c>
      <c r="N993" s="47"/>
      <c r="O993" s="49"/>
      <c r="P993" s="51"/>
    </row>
    <row r="994" spans="1:16" ht="15.75" thickBot="1">
      <c r="A994" s="6" t="s">
        <v>3996</v>
      </c>
      <c r="B994" s="50"/>
      <c r="C994" s="52"/>
      <c r="D994" s="50"/>
      <c r="E994" s="48"/>
      <c r="F994" s="48"/>
      <c r="G994" s="48"/>
      <c r="H994" s="48"/>
      <c r="I994" s="48"/>
      <c r="J994" s="48"/>
      <c r="K994" s="48"/>
      <c r="L994" s="48"/>
      <c r="M994" s="48"/>
      <c r="N994" s="48"/>
      <c r="O994" s="50"/>
      <c r="P994" s="52"/>
    </row>
    <row r="995" spans="1:16" ht="15.75" thickBot="1">
      <c r="A995" s="6" t="s">
        <v>3818</v>
      </c>
      <c r="B995" s="10" t="s">
        <v>2121</v>
      </c>
      <c r="C995" s="11" t="s">
        <v>3819</v>
      </c>
      <c r="D995" s="10" t="s">
        <v>4020</v>
      </c>
      <c r="E995" s="38">
        <v>8</v>
      </c>
      <c r="F995" s="38" t="s">
        <v>4026</v>
      </c>
      <c r="G995" s="38"/>
      <c r="H995" s="38" t="s">
        <v>2164</v>
      </c>
      <c r="I995" s="38" t="s">
        <v>2124</v>
      </c>
      <c r="J995" s="38"/>
      <c r="K995" s="38"/>
      <c r="L995" s="38" t="s">
        <v>2136</v>
      </c>
      <c r="M995" s="38">
        <v>1</v>
      </c>
      <c r="N995" s="38"/>
      <c r="O995" s="10"/>
      <c r="P995" s="11"/>
    </row>
    <row r="996" spans="1:16" ht="15">
      <c r="A996" s="5" t="s">
        <v>3820</v>
      </c>
      <c r="B996" s="49" t="s">
        <v>2121</v>
      </c>
      <c r="C996" s="51" t="s">
        <v>3821</v>
      </c>
      <c r="D996" s="49" t="s">
        <v>2128</v>
      </c>
      <c r="E996" s="47">
        <v>22</v>
      </c>
      <c r="F996" s="47" t="s">
        <v>4026</v>
      </c>
      <c r="G996" s="47"/>
      <c r="H996" s="47" t="s">
        <v>2164</v>
      </c>
      <c r="I996" s="47" t="s">
        <v>2124</v>
      </c>
      <c r="J996" s="47"/>
      <c r="K996" s="47"/>
      <c r="L996" s="47" t="s">
        <v>2136</v>
      </c>
      <c r="M996" s="47">
        <v>1</v>
      </c>
      <c r="N996" s="47"/>
      <c r="O996" s="49"/>
      <c r="P996" s="51"/>
    </row>
    <row r="997" spans="1:16" ht="15.75" thickBot="1">
      <c r="A997" s="6" t="s">
        <v>1617</v>
      </c>
      <c r="B997" s="50"/>
      <c r="C997" s="52"/>
      <c r="D997" s="50"/>
      <c r="E997" s="48"/>
      <c r="F997" s="48"/>
      <c r="G997" s="48"/>
      <c r="H997" s="48"/>
      <c r="I997" s="48"/>
      <c r="J997" s="48"/>
      <c r="K997" s="48"/>
      <c r="L997" s="48"/>
      <c r="M997" s="48"/>
      <c r="N997" s="48"/>
      <c r="O997" s="50"/>
      <c r="P997" s="52"/>
    </row>
    <row r="998" spans="1:16" ht="15.75" thickBot="1">
      <c r="A998" s="6" t="s">
        <v>3822</v>
      </c>
      <c r="B998" s="10" t="s">
        <v>3823</v>
      </c>
      <c r="C998" s="11"/>
      <c r="D998" s="10"/>
      <c r="E998" s="38"/>
      <c r="F998" s="38"/>
      <c r="G998" s="38"/>
      <c r="H998" s="38" t="s">
        <v>2123</v>
      </c>
      <c r="I998" s="38" t="s">
        <v>2124</v>
      </c>
      <c r="J998" s="38"/>
      <c r="K998" s="38"/>
      <c r="L998" s="38" t="s">
        <v>2198</v>
      </c>
      <c r="M998" s="38" t="s">
        <v>2221</v>
      </c>
      <c r="N998" s="38"/>
      <c r="O998" s="10"/>
      <c r="P998" s="11"/>
    </row>
    <row r="999" spans="1:16" ht="26.25" thickBot="1">
      <c r="A999" s="6" t="s">
        <v>3824</v>
      </c>
      <c r="B999" s="10" t="s">
        <v>1090</v>
      </c>
      <c r="C999" s="11" t="s">
        <v>3825</v>
      </c>
      <c r="D999" s="10" t="s">
        <v>3901</v>
      </c>
      <c r="E999" s="38" t="s">
        <v>3826</v>
      </c>
      <c r="F999" s="38" t="s">
        <v>3827</v>
      </c>
      <c r="G999" s="38"/>
      <c r="H999" s="38" t="s">
        <v>2164</v>
      </c>
      <c r="I999" s="38" t="s">
        <v>2124</v>
      </c>
      <c r="J999" s="38"/>
      <c r="K999" s="38"/>
      <c r="L999" s="38" t="s">
        <v>2165</v>
      </c>
      <c r="M999" s="38">
        <v>3</v>
      </c>
      <c r="N999" s="38"/>
      <c r="O999" s="10"/>
      <c r="P999" s="11"/>
    </row>
    <row r="1000" spans="1:16" ht="15.75" thickBot="1">
      <c r="A1000" s="6" t="s">
        <v>968</v>
      </c>
      <c r="B1000" s="10" t="s">
        <v>2121</v>
      </c>
      <c r="C1000" s="11" t="s">
        <v>3828</v>
      </c>
      <c r="D1000" s="10"/>
      <c r="E1000" s="38"/>
      <c r="F1000" s="38"/>
      <c r="G1000" s="38"/>
      <c r="H1000" s="38" t="s">
        <v>2123</v>
      </c>
      <c r="I1000" s="38" t="s">
        <v>2124</v>
      </c>
      <c r="J1000" s="38"/>
      <c r="K1000" s="38"/>
      <c r="L1000" s="38" t="s">
        <v>2125</v>
      </c>
      <c r="M1000" s="38">
        <v>1</v>
      </c>
      <c r="N1000" s="38"/>
      <c r="O1000" s="10"/>
      <c r="P1000" s="25" t="str">
        <f>HYPERLINK("http://biade.itrust.de/biade/lpext.dll?f=id&amp;id=biadb%3Ar%3A106681&amp;t=main-h.htm","106681")</f>
        <v>106681</v>
      </c>
    </row>
    <row r="1001" spans="1:16" ht="15.75" thickBot="1">
      <c r="A1001" s="6" t="s">
        <v>3829</v>
      </c>
      <c r="B1001" s="10" t="s">
        <v>3830</v>
      </c>
      <c r="C1001" s="11" t="s">
        <v>3831</v>
      </c>
      <c r="D1001" s="10" t="s">
        <v>3859</v>
      </c>
      <c r="E1001" s="38" t="s">
        <v>3832</v>
      </c>
      <c r="F1001" s="38" t="s">
        <v>3861</v>
      </c>
      <c r="G1001" s="38"/>
      <c r="H1001" s="38" t="s">
        <v>2164</v>
      </c>
      <c r="I1001" s="38" t="s">
        <v>2124</v>
      </c>
      <c r="J1001" s="38"/>
      <c r="K1001" s="38"/>
      <c r="L1001" s="38" t="s">
        <v>2198</v>
      </c>
      <c r="M1001" s="38"/>
      <c r="N1001" s="38"/>
      <c r="O1001" s="10"/>
      <c r="P1001" s="25" t="str">
        <f>HYPERLINK("http://biade.itrust.de/biade/lpext.dll?f=id&amp;id=biadb%3Ar%3A007120&amp;t=main-h.htm","7120")</f>
        <v>7120</v>
      </c>
    </row>
    <row r="1002" spans="1:16" ht="15.75" thickBot="1">
      <c r="A1002" s="6" t="s">
        <v>3833</v>
      </c>
      <c r="B1002" s="10" t="s">
        <v>2177</v>
      </c>
      <c r="C1002" s="11" t="s">
        <v>3834</v>
      </c>
      <c r="D1002" s="10"/>
      <c r="E1002" s="38"/>
      <c r="F1002" s="38"/>
      <c r="G1002" s="38"/>
      <c r="H1002" s="38" t="s">
        <v>2123</v>
      </c>
      <c r="I1002" s="38" t="s">
        <v>2124</v>
      </c>
      <c r="J1002" s="38"/>
      <c r="K1002" s="38"/>
      <c r="L1002" s="38" t="s">
        <v>2125</v>
      </c>
      <c r="M1002" s="38">
        <v>1</v>
      </c>
      <c r="N1002" s="38"/>
      <c r="O1002" s="10"/>
      <c r="P1002" s="25" t="str">
        <f>HYPERLINK("http://biade.itrust.de/biade/lpext.dll?f=id&amp;id=biadb%3Ar%3A013060&amp;t=main-h.htm","13060")</f>
        <v>13060</v>
      </c>
    </row>
    <row r="1003" spans="1:16" ht="15.75" thickBot="1">
      <c r="A1003" s="6" t="s">
        <v>3835</v>
      </c>
      <c r="B1003" s="10" t="s">
        <v>2121</v>
      </c>
      <c r="C1003" s="11" t="s">
        <v>3836</v>
      </c>
      <c r="D1003" s="10"/>
      <c r="E1003" s="38"/>
      <c r="F1003" s="38"/>
      <c r="G1003" s="38"/>
      <c r="H1003" s="38" t="s">
        <v>2123</v>
      </c>
      <c r="I1003" s="38" t="s">
        <v>2124</v>
      </c>
      <c r="J1003" s="38"/>
      <c r="K1003" s="38"/>
      <c r="L1003" s="38" t="s">
        <v>2125</v>
      </c>
      <c r="M1003" s="38" t="s">
        <v>2221</v>
      </c>
      <c r="N1003" s="38"/>
      <c r="O1003" s="10"/>
      <c r="P1003" s="11"/>
    </row>
    <row r="1004" spans="1:16" ht="15.75" thickBot="1">
      <c r="A1004" s="6" t="s">
        <v>3837</v>
      </c>
      <c r="B1004" s="10" t="s">
        <v>4217</v>
      </c>
      <c r="C1004" s="11" t="s">
        <v>3838</v>
      </c>
      <c r="D1004" s="10" t="s">
        <v>2134</v>
      </c>
      <c r="E1004" s="38" t="s">
        <v>3219</v>
      </c>
      <c r="F1004" s="38"/>
      <c r="G1004" s="38"/>
      <c r="H1004" s="38" t="s">
        <v>3054</v>
      </c>
      <c r="I1004" s="38" t="s">
        <v>2124</v>
      </c>
      <c r="J1004" s="38"/>
      <c r="K1004" s="38"/>
      <c r="L1004" s="38" t="s">
        <v>2125</v>
      </c>
      <c r="M1004" s="38">
        <v>1</v>
      </c>
      <c r="N1004" s="38"/>
      <c r="O1004" s="10"/>
      <c r="P1004" s="25" t="str">
        <f>HYPERLINK("http://biade.itrust.de/biade/lpext.dll?f=id&amp;id=biadb%3Ar%3A003450&amp;t=main-h.htm","3450")</f>
        <v>3450</v>
      </c>
    </row>
    <row r="1005" spans="1:16" ht="15.75" thickBot="1">
      <c r="A1005" s="6" t="s">
        <v>3839</v>
      </c>
      <c r="B1005" s="10" t="s">
        <v>2121</v>
      </c>
      <c r="C1005" s="11" t="s">
        <v>505</v>
      </c>
      <c r="D1005" s="10"/>
      <c r="E1005" s="38"/>
      <c r="F1005" s="38"/>
      <c r="G1005" s="38"/>
      <c r="H1005" s="38" t="s">
        <v>2123</v>
      </c>
      <c r="I1005" s="38" t="s">
        <v>2124</v>
      </c>
      <c r="J1005" s="38"/>
      <c r="K1005" s="38"/>
      <c r="L1005" s="38" t="s">
        <v>2125</v>
      </c>
      <c r="M1005" s="38" t="s">
        <v>2221</v>
      </c>
      <c r="N1005" s="38"/>
      <c r="O1005" s="10"/>
      <c r="P1005" s="25" t="str">
        <f>HYPERLINK("http://biade.itrust.de/biade/lpext.dll?f=id&amp;id=biadb%3Ar%3A001720&amp;t=main-h.htm","1720")</f>
        <v>1720</v>
      </c>
    </row>
    <row r="1006" spans="1:16" ht="15">
      <c r="A1006" s="5" t="s">
        <v>506</v>
      </c>
      <c r="B1006" s="49" t="s">
        <v>2074</v>
      </c>
      <c r="C1006" s="51" t="s">
        <v>507</v>
      </c>
      <c r="D1006" s="49"/>
      <c r="E1006" s="47"/>
      <c r="F1006" s="47"/>
      <c r="G1006" s="47"/>
      <c r="H1006" s="47" t="s">
        <v>2123</v>
      </c>
      <c r="I1006" s="47" t="s">
        <v>2124</v>
      </c>
      <c r="J1006" s="47"/>
      <c r="K1006" s="47"/>
      <c r="L1006" s="47" t="s">
        <v>2136</v>
      </c>
      <c r="M1006" s="47">
        <v>3</v>
      </c>
      <c r="N1006" s="47"/>
      <c r="O1006" s="49"/>
      <c r="P1006" s="51"/>
    </row>
    <row r="1007" spans="1:16" ht="15.75" thickBot="1">
      <c r="A1007" s="6" t="s">
        <v>2160</v>
      </c>
      <c r="B1007" s="50"/>
      <c r="C1007" s="52"/>
      <c r="D1007" s="50"/>
      <c r="E1007" s="48"/>
      <c r="F1007" s="48"/>
      <c r="G1007" s="48"/>
      <c r="H1007" s="48"/>
      <c r="I1007" s="48"/>
      <c r="J1007" s="48"/>
      <c r="K1007" s="48"/>
      <c r="L1007" s="48"/>
      <c r="M1007" s="48"/>
      <c r="N1007" s="48"/>
      <c r="O1007" s="50"/>
      <c r="P1007" s="52"/>
    </row>
    <row r="1008" spans="1:16" ht="15.75" thickBot="1">
      <c r="A1008" s="6" t="s">
        <v>508</v>
      </c>
      <c r="B1008" s="10" t="s">
        <v>2121</v>
      </c>
      <c r="C1008" s="11" t="s">
        <v>509</v>
      </c>
      <c r="D1008" s="10" t="s">
        <v>4020</v>
      </c>
      <c r="E1008" s="38">
        <v>8</v>
      </c>
      <c r="F1008" s="38" t="s">
        <v>4026</v>
      </c>
      <c r="G1008" s="38"/>
      <c r="H1008" s="38" t="s">
        <v>2164</v>
      </c>
      <c r="I1008" s="38" t="s">
        <v>2124</v>
      </c>
      <c r="J1008" s="38"/>
      <c r="K1008" s="38"/>
      <c r="L1008" s="38" t="s">
        <v>2136</v>
      </c>
      <c r="M1008" s="38">
        <v>1</v>
      </c>
      <c r="N1008" s="38"/>
      <c r="O1008" s="10"/>
      <c r="P1008" s="25" t="str">
        <f>HYPERLINK("http://biade.itrust.de/biade/lpext.dll?f=id&amp;id=biadb%3Ar%3A570176&amp;t=main-h.htm","570176")</f>
        <v>570176</v>
      </c>
    </row>
    <row r="1009" spans="1:16" ht="15">
      <c r="A1009" s="49" t="s">
        <v>510</v>
      </c>
      <c r="B1009" s="49" t="s">
        <v>2177</v>
      </c>
      <c r="C1009" s="51" t="s">
        <v>511</v>
      </c>
      <c r="D1009" s="49"/>
      <c r="E1009" s="47"/>
      <c r="F1009" s="47"/>
      <c r="G1009" s="47"/>
      <c r="H1009" s="47" t="s">
        <v>2123</v>
      </c>
      <c r="I1009" s="39" t="s">
        <v>4201</v>
      </c>
      <c r="J1009" s="47" t="s">
        <v>3881</v>
      </c>
      <c r="K1009" s="47"/>
      <c r="L1009" s="47" t="s">
        <v>2125</v>
      </c>
      <c r="M1009" s="47">
        <v>1</v>
      </c>
      <c r="N1009" s="47"/>
      <c r="O1009" s="49"/>
      <c r="P1009" s="51"/>
    </row>
    <row r="1010" spans="1:16" ht="15.75" thickBot="1">
      <c r="A1010" s="50"/>
      <c r="B1010" s="50"/>
      <c r="C1010" s="52"/>
      <c r="D1010" s="50"/>
      <c r="E1010" s="48"/>
      <c r="F1010" s="48"/>
      <c r="G1010" s="48"/>
      <c r="H1010" s="48"/>
      <c r="I1010" s="38" t="s">
        <v>2124</v>
      </c>
      <c r="J1010" s="48"/>
      <c r="K1010" s="48"/>
      <c r="L1010" s="48"/>
      <c r="M1010" s="48"/>
      <c r="N1010" s="48"/>
      <c r="O1010" s="50"/>
      <c r="P1010" s="52"/>
    </row>
    <row r="1011" spans="1:16" ht="15.75" thickBot="1">
      <c r="A1011" s="6" t="s">
        <v>512</v>
      </c>
      <c r="B1011" s="10" t="s">
        <v>4217</v>
      </c>
      <c r="C1011" s="11" t="s">
        <v>513</v>
      </c>
      <c r="D1011" s="10" t="s">
        <v>3887</v>
      </c>
      <c r="E1011" s="38" t="s">
        <v>514</v>
      </c>
      <c r="F1011" s="38" t="s">
        <v>515</v>
      </c>
      <c r="G1011" s="38"/>
      <c r="H1011" s="38" t="s">
        <v>2164</v>
      </c>
      <c r="I1011" s="38" t="s">
        <v>2124</v>
      </c>
      <c r="J1011" s="38"/>
      <c r="K1011" s="38"/>
      <c r="L1011" s="38" t="s">
        <v>2136</v>
      </c>
      <c r="M1011" s="38">
        <v>1</v>
      </c>
      <c r="N1011" s="38"/>
      <c r="O1011" s="10"/>
      <c r="P1011" s="25" t="str">
        <f>HYPERLINK("http://biade.itrust.de/biade/lpext.dll?f=id&amp;id=biadb%3Ar%3A570177&amp;t=main-h.htm","570177")</f>
        <v>570177</v>
      </c>
    </row>
    <row r="1012" spans="1:16" ht="15.75" thickBot="1">
      <c r="A1012" s="6" t="s">
        <v>516</v>
      </c>
      <c r="B1012" s="10"/>
      <c r="C1012" s="11" t="s">
        <v>517</v>
      </c>
      <c r="D1012" s="10" t="s">
        <v>1221</v>
      </c>
      <c r="E1012" s="38" t="s">
        <v>2677</v>
      </c>
      <c r="F1012" s="38" t="s">
        <v>518</v>
      </c>
      <c r="G1012" s="38"/>
      <c r="H1012" s="38" t="s">
        <v>1224</v>
      </c>
      <c r="I1012" s="38" t="s">
        <v>2124</v>
      </c>
      <c r="J1012" s="38"/>
      <c r="K1012" s="38" t="s">
        <v>2187</v>
      </c>
      <c r="L1012" s="38" t="s">
        <v>2213</v>
      </c>
      <c r="M1012" s="38">
        <v>2</v>
      </c>
      <c r="N1012" s="38" t="s">
        <v>519</v>
      </c>
      <c r="O1012" s="10"/>
      <c r="P1012" s="25" t="str">
        <f>HYPERLINK("http://biade.itrust.de/biade/lpext.dll?f=id&amp;id=biadb%3Ar%3A500041&amp;t=main-h.htm","500041")</f>
        <v>500041</v>
      </c>
    </row>
    <row r="1013" spans="1:16" ht="15.75" thickBot="1">
      <c r="A1013" s="6" t="s">
        <v>3829</v>
      </c>
      <c r="B1013" s="10" t="s">
        <v>520</v>
      </c>
      <c r="C1013" s="11" t="s">
        <v>3831</v>
      </c>
      <c r="D1013" s="10" t="s">
        <v>3859</v>
      </c>
      <c r="E1013" s="38" t="s">
        <v>3832</v>
      </c>
      <c r="F1013" s="38" t="s">
        <v>3861</v>
      </c>
      <c r="G1013" s="38"/>
      <c r="H1013" s="38" t="s">
        <v>2164</v>
      </c>
      <c r="I1013" s="38" t="s">
        <v>2124</v>
      </c>
      <c r="J1013" s="38"/>
      <c r="K1013" s="38"/>
      <c r="L1013" s="38" t="s">
        <v>2201</v>
      </c>
      <c r="M1013" s="38"/>
      <c r="N1013" s="38"/>
      <c r="O1013" s="10"/>
      <c r="P1013" s="25" t="str">
        <f>HYPERLINK("http://biade.itrust.de/biade/lpext.dll?f=id&amp;id=biadb%3Ar%3A007120&amp;t=main-h.htm","7120")</f>
        <v>7120</v>
      </c>
    </row>
    <row r="1014" spans="1:16" ht="15.75" thickBot="1">
      <c r="A1014" s="6" t="s">
        <v>521</v>
      </c>
      <c r="B1014" s="10" t="s">
        <v>2121</v>
      </c>
      <c r="C1014" s="11" t="s">
        <v>522</v>
      </c>
      <c r="D1014" s="10"/>
      <c r="E1014" s="38"/>
      <c r="F1014" s="38"/>
      <c r="G1014" s="38"/>
      <c r="H1014" s="38" t="s">
        <v>2123</v>
      </c>
      <c r="I1014" s="38" t="s">
        <v>2124</v>
      </c>
      <c r="J1014" s="38"/>
      <c r="K1014" s="38"/>
      <c r="L1014" s="38" t="s">
        <v>2125</v>
      </c>
      <c r="M1014" s="38">
        <v>1</v>
      </c>
      <c r="N1014" s="38"/>
      <c r="O1014" s="10"/>
      <c r="P1014" s="25" t="str">
        <f>HYPERLINK("http://biade.itrust.de/biade/lpext.dll?f=id&amp;id=biadb%3Ar%3A002330&amp;t=main-h.htm","2330")</f>
        <v>2330</v>
      </c>
    </row>
    <row r="1015" spans="1:16" ht="16.5" thickBot="1">
      <c r="A1015" s="6" t="s">
        <v>523</v>
      </c>
      <c r="B1015" s="10" t="s">
        <v>524</v>
      </c>
      <c r="C1015" s="11" t="s">
        <v>525</v>
      </c>
      <c r="D1015" s="10" t="s">
        <v>3961</v>
      </c>
      <c r="E1015" s="38" t="s">
        <v>526</v>
      </c>
      <c r="F1015" s="38" t="s">
        <v>527</v>
      </c>
      <c r="G1015" s="38" t="s">
        <v>528</v>
      </c>
      <c r="H1015" s="38" t="s">
        <v>3220</v>
      </c>
      <c r="I1015" s="38" t="s">
        <v>2124</v>
      </c>
      <c r="J1015" s="38"/>
      <c r="K1015" s="38"/>
      <c r="L1015" s="38" t="s">
        <v>2165</v>
      </c>
      <c r="M1015" s="38">
        <v>3</v>
      </c>
      <c r="N1015" s="38" t="s">
        <v>529</v>
      </c>
      <c r="O1015" s="10"/>
      <c r="P1015" s="11"/>
    </row>
    <row r="1016" spans="1:16" ht="15.75" thickBot="1">
      <c r="A1016" s="6" t="s">
        <v>530</v>
      </c>
      <c r="B1016" s="18" t="s">
        <v>1089</v>
      </c>
      <c r="C1016" s="11" t="s">
        <v>531</v>
      </c>
      <c r="D1016" s="10" t="s">
        <v>2128</v>
      </c>
      <c r="E1016" s="38" t="s">
        <v>532</v>
      </c>
      <c r="F1016" s="38" t="s">
        <v>533</v>
      </c>
      <c r="G1016" s="38" t="s">
        <v>3940</v>
      </c>
      <c r="H1016" s="38" t="s">
        <v>2164</v>
      </c>
      <c r="I1016" s="38" t="s">
        <v>2124</v>
      </c>
      <c r="J1016" s="38"/>
      <c r="K1016" s="38"/>
      <c r="L1016" s="38" t="s">
        <v>2165</v>
      </c>
      <c r="M1016" s="38">
        <v>1</v>
      </c>
      <c r="N1016" s="38"/>
      <c r="O1016" s="10"/>
      <c r="P1016" s="25" t="str">
        <f>HYPERLINK("http://biade.itrust.de/biade/lpext.dll?f=id&amp;id=biadb%3Ar%3A014640&amp;t=main-h.htm","14640")</f>
        <v>14640</v>
      </c>
    </row>
    <row r="1017" spans="1:16" ht="22.5" customHeight="1">
      <c r="A1017" s="49" t="s">
        <v>534</v>
      </c>
      <c r="B1017" s="49" t="s">
        <v>1088</v>
      </c>
      <c r="C1017" s="51" t="s">
        <v>535</v>
      </c>
      <c r="D1017" s="49" t="s">
        <v>2227</v>
      </c>
      <c r="E1017" s="47" t="s">
        <v>536</v>
      </c>
      <c r="F1017" s="47" t="s">
        <v>1281</v>
      </c>
      <c r="G1017" s="47" t="s">
        <v>2184</v>
      </c>
      <c r="H1017" s="47" t="s">
        <v>2164</v>
      </c>
      <c r="I1017" s="39">
        <v>0.41</v>
      </c>
      <c r="J1017" s="47" t="s">
        <v>1863</v>
      </c>
      <c r="K1017" s="47"/>
      <c r="L1017" s="47" t="s">
        <v>2165</v>
      </c>
      <c r="M1017" s="47">
        <v>1</v>
      </c>
      <c r="N1017" s="47"/>
      <c r="O1017" s="49"/>
      <c r="P1017" s="51"/>
    </row>
    <row r="1018" spans="1:16" ht="15.75" thickBot="1">
      <c r="A1018" s="50"/>
      <c r="B1018" s="50"/>
      <c r="C1018" s="52"/>
      <c r="D1018" s="50"/>
      <c r="E1018" s="48"/>
      <c r="F1018" s="48"/>
      <c r="G1018" s="48"/>
      <c r="H1018" s="48"/>
      <c r="I1018" s="38">
        <v>0.1</v>
      </c>
      <c r="J1018" s="48"/>
      <c r="K1018" s="48"/>
      <c r="L1018" s="48"/>
      <c r="M1018" s="48"/>
      <c r="N1018" s="48"/>
      <c r="O1018" s="50"/>
      <c r="P1018" s="52"/>
    </row>
    <row r="1019" spans="1:16" ht="15">
      <c r="A1019" s="49" t="s">
        <v>537</v>
      </c>
      <c r="B1019" s="7" t="s">
        <v>538</v>
      </c>
      <c r="C1019" s="51" t="s">
        <v>540</v>
      </c>
      <c r="D1019" s="49" t="s">
        <v>2128</v>
      </c>
      <c r="E1019" s="47" t="s">
        <v>2149</v>
      </c>
      <c r="F1019" s="47" t="s">
        <v>541</v>
      </c>
      <c r="G1019" s="47"/>
      <c r="H1019" s="47" t="s">
        <v>2129</v>
      </c>
      <c r="I1019" s="47" t="s">
        <v>2124</v>
      </c>
      <c r="J1019" s="47"/>
      <c r="K1019" s="47"/>
      <c r="L1019" s="47" t="s">
        <v>2165</v>
      </c>
      <c r="M1019" s="47">
        <v>1</v>
      </c>
      <c r="N1019" s="47" t="s">
        <v>2144</v>
      </c>
      <c r="O1019" s="49"/>
      <c r="P1019" s="51"/>
    </row>
    <row r="1020" spans="1:16" ht="15.75" thickBot="1">
      <c r="A1020" s="50"/>
      <c r="B1020" s="10" t="s">
        <v>539</v>
      </c>
      <c r="C1020" s="52"/>
      <c r="D1020" s="50"/>
      <c r="E1020" s="48"/>
      <c r="F1020" s="48"/>
      <c r="G1020" s="48"/>
      <c r="H1020" s="48"/>
      <c r="I1020" s="48"/>
      <c r="J1020" s="48"/>
      <c r="K1020" s="48"/>
      <c r="L1020" s="48"/>
      <c r="M1020" s="48"/>
      <c r="N1020" s="48"/>
      <c r="O1020" s="50"/>
      <c r="P1020" s="52"/>
    </row>
    <row r="1021" spans="1:16" ht="15.75" thickBot="1">
      <c r="A1021" s="6" t="s">
        <v>969</v>
      </c>
      <c r="B1021" s="10" t="s">
        <v>1087</v>
      </c>
      <c r="C1021" s="11"/>
      <c r="D1021" s="10"/>
      <c r="E1021" s="38"/>
      <c r="F1021" s="38"/>
      <c r="G1021" s="38"/>
      <c r="H1021" s="38"/>
      <c r="I1021" s="38" t="s">
        <v>2124</v>
      </c>
      <c r="J1021" s="38"/>
      <c r="K1021" s="38"/>
      <c r="L1021" s="38"/>
      <c r="M1021" s="38"/>
      <c r="N1021" s="38"/>
      <c r="O1021" s="10"/>
      <c r="P1021" s="11"/>
    </row>
    <row r="1022" spans="1:16" ht="15.75" thickBot="1">
      <c r="A1022" s="6" t="s">
        <v>990</v>
      </c>
      <c r="B1022" s="10" t="s">
        <v>2121</v>
      </c>
      <c r="C1022" s="11" t="s">
        <v>542</v>
      </c>
      <c r="D1022" s="10"/>
      <c r="E1022" s="38"/>
      <c r="F1022" s="38"/>
      <c r="G1022" s="38"/>
      <c r="H1022" s="38" t="s">
        <v>2123</v>
      </c>
      <c r="I1022" s="38" t="s">
        <v>2124</v>
      </c>
      <c r="J1022" s="38"/>
      <c r="K1022" s="38"/>
      <c r="L1022" s="38" t="s">
        <v>2125</v>
      </c>
      <c r="M1022" s="38">
        <v>1</v>
      </c>
      <c r="N1022" s="38"/>
      <c r="O1022" s="10"/>
      <c r="P1022" s="11"/>
    </row>
    <row r="1023" spans="1:16" ht="15">
      <c r="A1023" s="5" t="s">
        <v>543</v>
      </c>
      <c r="B1023" s="49" t="s">
        <v>2121</v>
      </c>
      <c r="C1023" s="51" t="s">
        <v>545</v>
      </c>
      <c r="D1023" s="49" t="s">
        <v>3859</v>
      </c>
      <c r="E1023" s="47">
        <v>11</v>
      </c>
      <c r="F1023" s="47" t="s">
        <v>2641</v>
      </c>
      <c r="G1023" s="47"/>
      <c r="H1023" s="47" t="s">
        <v>2164</v>
      </c>
      <c r="I1023" s="39" t="s">
        <v>4186</v>
      </c>
      <c r="J1023" s="47"/>
      <c r="K1023" s="47"/>
      <c r="L1023" s="47" t="s">
        <v>2136</v>
      </c>
      <c r="M1023" s="47" t="s">
        <v>2221</v>
      </c>
      <c r="N1023" s="47"/>
      <c r="O1023" s="49"/>
      <c r="P1023" s="51"/>
    </row>
    <row r="1024" spans="1:16" ht="15.75" thickBot="1">
      <c r="A1024" s="6" t="s">
        <v>544</v>
      </c>
      <c r="B1024" s="50"/>
      <c r="C1024" s="52"/>
      <c r="D1024" s="50"/>
      <c r="E1024" s="48"/>
      <c r="F1024" s="48"/>
      <c r="G1024" s="48"/>
      <c r="H1024" s="48"/>
      <c r="I1024" s="38" t="s">
        <v>2124</v>
      </c>
      <c r="J1024" s="48"/>
      <c r="K1024" s="48"/>
      <c r="L1024" s="48"/>
      <c r="M1024" s="48"/>
      <c r="N1024" s="48"/>
      <c r="O1024" s="50"/>
      <c r="P1024" s="52"/>
    </row>
    <row r="1025" spans="1:16" ht="15">
      <c r="A1025" s="5" t="s">
        <v>546</v>
      </c>
      <c r="B1025" s="49" t="s">
        <v>2121</v>
      </c>
      <c r="C1025" s="51" t="s">
        <v>547</v>
      </c>
      <c r="D1025" s="49" t="s">
        <v>2128</v>
      </c>
      <c r="E1025" s="47">
        <v>22</v>
      </c>
      <c r="F1025" s="47"/>
      <c r="G1025" s="47"/>
      <c r="H1025" s="47" t="s">
        <v>2164</v>
      </c>
      <c r="I1025" s="39" t="s">
        <v>4186</v>
      </c>
      <c r="J1025" s="47">
        <v>4</v>
      </c>
      <c r="K1025" s="47"/>
      <c r="L1025" s="47" t="s">
        <v>2136</v>
      </c>
      <c r="M1025" s="47">
        <v>1</v>
      </c>
      <c r="N1025" s="47" t="s">
        <v>2144</v>
      </c>
      <c r="O1025" s="49"/>
      <c r="P1025" s="51"/>
    </row>
    <row r="1026" spans="1:16" ht="15.75" thickBot="1">
      <c r="A1026" s="6" t="s">
        <v>2160</v>
      </c>
      <c r="B1026" s="50"/>
      <c r="C1026" s="52"/>
      <c r="D1026" s="50"/>
      <c r="E1026" s="48"/>
      <c r="F1026" s="48"/>
      <c r="G1026" s="48"/>
      <c r="H1026" s="48"/>
      <c r="I1026" s="38" t="s">
        <v>2124</v>
      </c>
      <c r="J1026" s="48"/>
      <c r="K1026" s="48"/>
      <c r="L1026" s="48"/>
      <c r="M1026" s="48"/>
      <c r="N1026" s="48"/>
      <c r="O1026" s="50"/>
      <c r="P1026" s="52"/>
    </row>
    <row r="1027" spans="1:16" ht="22.5" customHeight="1">
      <c r="A1027" s="49" t="s">
        <v>548</v>
      </c>
      <c r="B1027" s="49" t="s">
        <v>2121</v>
      </c>
      <c r="C1027" s="51" t="s">
        <v>549</v>
      </c>
      <c r="D1027" s="49" t="s">
        <v>2128</v>
      </c>
      <c r="E1027" s="47">
        <v>22</v>
      </c>
      <c r="F1027" s="47"/>
      <c r="G1027" s="47"/>
      <c r="H1027" s="47" t="s">
        <v>2129</v>
      </c>
      <c r="I1027" s="39" t="s">
        <v>4186</v>
      </c>
      <c r="J1027" s="47" t="s">
        <v>327</v>
      </c>
      <c r="K1027" s="47"/>
      <c r="L1027" s="47" t="s">
        <v>2136</v>
      </c>
      <c r="M1027" s="47">
        <v>1</v>
      </c>
      <c r="N1027" s="47" t="s">
        <v>2144</v>
      </c>
      <c r="O1027" s="49"/>
      <c r="P1027" s="51"/>
    </row>
    <row r="1028" spans="1:16" ht="15.75" thickBot="1">
      <c r="A1028" s="50"/>
      <c r="B1028" s="50"/>
      <c r="C1028" s="52"/>
      <c r="D1028" s="50"/>
      <c r="E1028" s="48"/>
      <c r="F1028" s="48"/>
      <c r="G1028" s="48"/>
      <c r="H1028" s="48"/>
      <c r="I1028" s="38" t="s">
        <v>2124</v>
      </c>
      <c r="J1028" s="48"/>
      <c r="K1028" s="48"/>
      <c r="L1028" s="48"/>
      <c r="M1028" s="48"/>
      <c r="N1028" s="48"/>
      <c r="O1028" s="50"/>
      <c r="P1028" s="52"/>
    </row>
    <row r="1029" spans="1:16" ht="22.5" customHeight="1">
      <c r="A1029" s="49" t="s">
        <v>550</v>
      </c>
      <c r="B1029" s="49" t="s">
        <v>2121</v>
      </c>
      <c r="C1029" s="51" t="s">
        <v>551</v>
      </c>
      <c r="D1029" s="49" t="s">
        <v>2128</v>
      </c>
      <c r="E1029" s="47">
        <v>22</v>
      </c>
      <c r="F1029" s="47"/>
      <c r="G1029" s="47"/>
      <c r="H1029" s="47" t="s">
        <v>2164</v>
      </c>
      <c r="I1029" s="39" t="s">
        <v>4186</v>
      </c>
      <c r="J1029" s="47">
        <v>4</v>
      </c>
      <c r="K1029" s="47"/>
      <c r="L1029" s="47" t="s">
        <v>2136</v>
      </c>
      <c r="M1029" s="47">
        <v>1</v>
      </c>
      <c r="N1029" s="47" t="s">
        <v>2144</v>
      </c>
      <c r="O1029" s="49"/>
      <c r="P1029" s="51"/>
    </row>
    <row r="1030" spans="1:16" ht="15.75" thickBot="1">
      <c r="A1030" s="50"/>
      <c r="B1030" s="50"/>
      <c r="C1030" s="52"/>
      <c r="D1030" s="50"/>
      <c r="E1030" s="48"/>
      <c r="F1030" s="48"/>
      <c r="G1030" s="48"/>
      <c r="H1030" s="48"/>
      <c r="I1030" s="38" t="s">
        <v>2124</v>
      </c>
      <c r="J1030" s="48"/>
      <c r="K1030" s="48"/>
      <c r="L1030" s="48"/>
      <c r="M1030" s="48"/>
      <c r="N1030" s="48"/>
      <c r="O1030" s="50"/>
      <c r="P1030" s="52"/>
    </row>
    <row r="1031" spans="1:16" ht="15">
      <c r="A1031" s="49" t="s">
        <v>552</v>
      </c>
      <c r="B1031" s="49" t="s">
        <v>2121</v>
      </c>
      <c r="C1031" s="51" t="s">
        <v>553</v>
      </c>
      <c r="D1031" s="49" t="s">
        <v>4020</v>
      </c>
      <c r="E1031" s="47">
        <v>8</v>
      </c>
      <c r="F1031" s="47"/>
      <c r="G1031" s="47"/>
      <c r="H1031" s="47" t="s">
        <v>2164</v>
      </c>
      <c r="I1031" s="39" t="s">
        <v>4186</v>
      </c>
      <c r="J1031" s="47">
        <v>4</v>
      </c>
      <c r="K1031" s="47"/>
      <c r="L1031" s="47" t="s">
        <v>2136</v>
      </c>
      <c r="M1031" s="47">
        <v>1</v>
      </c>
      <c r="N1031" s="47"/>
      <c r="O1031" s="49"/>
      <c r="P1031" s="51"/>
    </row>
    <row r="1032" spans="1:16" ht="15.75" thickBot="1">
      <c r="A1032" s="50"/>
      <c r="B1032" s="50"/>
      <c r="C1032" s="52"/>
      <c r="D1032" s="50"/>
      <c r="E1032" s="48"/>
      <c r="F1032" s="48"/>
      <c r="G1032" s="48"/>
      <c r="H1032" s="48"/>
      <c r="I1032" s="38" t="s">
        <v>2124</v>
      </c>
      <c r="J1032" s="48"/>
      <c r="K1032" s="48"/>
      <c r="L1032" s="48"/>
      <c r="M1032" s="48"/>
      <c r="N1032" s="48"/>
      <c r="O1032" s="50"/>
      <c r="P1032" s="52"/>
    </row>
    <row r="1033" spans="1:16" ht="15">
      <c r="A1033" s="49" t="s">
        <v>554</v>
      </c>
      <c r="B1033" s="49" t="s">
        <v>555</v>
      </c>
      <c r="C1033" s="51" t="s">
        <v>556</v>
      </c>
      <c r="D1033" s="49" t="s">
        <v>2128</v>
      </c>
      <c r="E1033" s="47" t="s">
        <v>1611</v>
      </c>
      <c r="F1033" s="47">
        <v>25</v>
      </c>
      <c r="G1033" s="47"/>
      <c r="H1033" s="47" t="s">
        <v>2164</v>
      </c>
      <c r="I1033" s="39" t="s">
        <v>4186</v>
      </c>
      <c r="J1033" s="47" t="s">
        <v>327</v>
      </c>
      <c r="K1033" s="47"/>
      <c r="L1033" s="47" t="s">
        <v>2136</v>
      </c>
      <c r="M1033" s="47">
        <v>1</v>
      </c>
      <c r="N1033" s="47" t="s">
        <v>3767</v>
      </c>
      <c r="O1033" s="49"/>
      <c r="P1033" s="51"/>
    </row>
    <row r="1034" spans="1:16" ht="15.75" thickBot="1">
      <c r="A1034" s="50"/>
      <c r="B1034" s="50"/>
      <c r="C1034" s="52"/>
      <c r="D1034" s="50"/>
      <c r="E1034" s="48"/>
      <c r="F1034" s="48"/>
      <c r="G1034" s="48"/>
      <c r="H1034" s="48"/>
      <c r="I1034" s="38" t="s">
        <v>2124</v>
      </c>
      <c r="J1034" s="48"/>
      <c r="K1034" s="48"/>
      <c r="L1034" s="48"/>
      <c r="M1034" s="48"/>
      <c r="N1034" s="48"/>
      <c r="O1034" s="50"/>
      <c r="P1034" s="52"/>
    </row>
    <row r="1035" spans="1:16" ht="15">
      <c r="A1035" s="5" t="s">
        <v>557</v>
      </c>
      <c r="B1035" s="49" t="s">
        <v>2121</v>
      </c>
      <c r="C1035" s="51" t="s">
        <v>558</v>
      </c>
      <c r="D1035" s="49"/>
      <c r="E1035" s="47"/>
      <c r="F1035" s="47"/>
      <c r="G1035" s="47"/>
      <c r="H1035" s="47" t="s">
        <v>2123</v>
      </c>
      <c r="I1035" s="39" t="s">
        <v>4186</v>
      </c>
      <c r="J1035" s="47">
        <v>4</v>
      </c>
      <c r="K1035" s="47"/>
      <c r="L1035" s="47" t="s">
        <v>2125</v>
      </c>
      <c r="M1035" s="47">
        <v>1</v>
      </c>
      <c r="N1035" s="47"/>
      <c r="O1035" s="49"/>
      <c r="P1035" s="51"/>
    </row>
    <row r="1036" spans="1:16" ht="15.75" thickBot="1">
      <c r="A1036" s="6" t="s">
        <v>1617</v>
      </c>
      <c r="B1036" s="50"/>
      <c r="C1036" s="52"/>
      <c r="D1036" s="50"/>
      <c r="E1036" s="48"/>
      <c r="F1036" s="48"/>
      <c r="G1036" s="48"/>
      <c r="H1036" s="48"/>
      <c r="I1036" s="38" t="s">
        <v>2124</v>
      </c>
      <c r="J1036" s="48"/>
      <c r="K1036" s="48"/>
      <c r="L1036" s="48"/>
      <c r="M1036" s="48"/>
      <c r="N1036" s="48"/>
      <c r="O1036" s="50"/>
      <c r="P1036" s="52"/>
    </row>
    <row r="1037" spans="1:16" ht="15">
      <c r="A1037" s="49" t="s">
        <v>559</v>
      </c>
      <c r="B1037" s="49"/>
      <c r="C1037" s="51" t="s">
        <v>560</v>
      </c>
      <c r="D1037" s="49" t="s">
        <v>3961</v>
      </c>
      <c r="E1037" s="47" t="s">
        <v>561</v>
      </c>
      <c r="F1037" s="47" t="s">
        <v>453</v>
      </c>
      <c r="G1037" s="47"/>
      <c r="H1037" s="47" t="s">
        <v>2164</v>
      </c>
      <c r="I1037" s="39" t="s">
        <v>4186</v>
      </c>
      <c r="J1037" s="47">
        <v>4</v>
      </c>
      <c r="K1037" s="47"/>
      <c r="L1037" s="47" t="s">
        <v>2136</v>
      </c>
      <c r="M1037" s="47">
        <v>1</v>
      </c>
      <c r="N1037" s="47" t="s">
        <v>562</v>
      </c>
      <c r="O1037" s="49"/>
      <c r="P1037" s="51"/>
    </row>
    <row r="1038" spans="1:16" ht="15.75" thickBot="1">
      <c r="A1038" s="50"/>
      <c r="B1038" s="50"/>
      <c r="C1038" s="52"/>
      <c r="D1038" s="50"/>
      <c r="E1038" s="48"/>
      <c r="F1038" s="48"/>
      <c r="G1038" s="48"/>
      <c r="H1038" s="48"/>
      <c r="I1038" s="38" t="s">
        <v>2124</v>
      </c>
      <c r="J1038" s="48"/>
      <c r="K1038" s="48"/>
      <c r="L1038" s="48"/>
      <c r="M1038" s="48"/>
      <c r="N1038" s="48"/>
      <c r="O1038" s="50"/>
      <c r="P1038" s="52"/>
    </row>
    <row r="1039" spans="1:16" ht="15.75" thickBot="1">
      <c r="A1039" s="6" t="s">
        <v>563</v>
      </c>
      <c r="B1039" s="10" t="s">
        <v>2121</v>
      </c>
      <c r="C1039" s="11" t="s">
        <v>564</v>
      </c>
      <c r="D1039" s="10"/>
      <c r="E1039" s="38"/>
      <c r="F1039" s="38"/>
      <c r="G1039" s="38"/>
      <c r="H1039" s="38" t="s">
        <v>2123</v>
      </c>
      <c r="I1039" s="38" t="s">
        <v>2124</v>
      </c>
      <c r="J1039" s="38"/>
      <c r="K1039" s="38"/>
      <c r="L1039" s="38" t="s">
        <v>2125</v>
      </c>
      <c r="M1039" s="38" t="s">
        <v>2221</v>
      </c>
      <c r="N1039" s="38"/>
      <c r="O1039" s="10"/>
      <c r="P1039" s="11"/>
    </row>
    <row r="1040" spans="1:16" ht="48" customHeight="1">
      <c r="A1040" s="49" t="s">
        <v>565</v>
      </c>
      <c r="B1040" s="7" t="s">
        <v>566</v>
      </c>
      <c r="C1040" s="51"/>
      <c r="D1040" s="49" t="s">
        <v>4071</v>
      </c>
      <c r="E1040" s="47" t="s">
        <v>567</v>
      </c>
      <c r="F1040" s="47" t="s">
        <v>33</v>
      </c>
      <c r="G1040" s="47"/>
      <c r="H1040" s="47" t="s">
        <v>3220</v>
      </c>
      <c r="I1040" s="47" t="s">
        <v>2124</v>
      </c>
      <c r="J1040" s="47"/>
      <c r="K1040" s="47" t="s">
        <v>2533</v>
      </c>
      <c r="L1040" s="47" t="s">
        <v>2194</v>
      </c>
      <c r="M1040" s="47">
        <v>1</v>
      </c>
      <c r="N1040" s="47"/>
      <c r="O1040" s="49"/>
      <c r="P1040" s="51"/>
    </row>
    <row r="1041" spans="1:16" ht="15.75" thickBot="1">
      <c r="A1041" s="50"/>
      <c r="B1041" s="10" t="s">
        <v>1262</v>
      </c>
      <c r="C1041" s="52"/>
      <c r="D1041" s="50"/>
      <c r="E1041" s="48"/>
      <c r="F1041" s="48"/>
      <c r="G1041" s="48"/>
      <c r="H1041" s="48"/>
      <c r="I1041" s="48"/>
      <c r="J1041" s="48"/>
      <c r="K1041" s="48"/>
      <c r="L1041" s="48"/>
      <c r="M1041" s="48"/>
      <c r="N1041" s="48"/>
      <c r="O1041" s="50"/>
      <c r="P1041" s="52"/>
    </row>
    <row r="1042" spans="1:16" ht="26.25" thickBot="1">
      <c r="A1042" s="6" t="s">
        <v>568</v>
      </c>
      <c r="B1042" s="10" t="s">
        <v>2121</v>
      </c>
      <c r="C1042" s="11"/>
      <c r="D1042" s="10" t="s">
        <v>2128</v>
      </c>
      <c r="E1042" s="38" t="s">
        <v>2149</v>
      </c>
      <c r="F1042" s="38" t="s">
        <v>2908</v>
      </c>
      <c r="G1042" s="38"/>
      <c r="H1042" s="38" t="s">
        <v>2164</v>
      </c>
      <c r="I1042" s="38" t="s">
        <v>2124</v>
      </c>
      <c r="J1042" s="38"/>
      <c r="K1042" s="38"/>
      <c r="L1042" s="38" t="s">
        <v>2194</v>
      </c>
      <c r="M1042" s="38">
        <v>2</v>
      </c>
      <c r="N1042" s="38"/>
      <c r="O1042" s="10"/>
      <c r="P1042" s="11"/>
    </row>
    <row r="1043" spans="1:16" ht="15.75" thickBot="1">
      <c r="A1043" s="6" t="s">
        <v>569</v>
      </c>
      <c r="B1043" s="10" t="s">
        <v>1086</v>
      </c>
      <c r="C1043" s="11" t="s">
        <v>570</v>
      </c>
      <c r="D1043" s="10"/>
      <c r="E1043" s="38"/>
      <c r="F1043" s="38"/>
      <c r="G1043" s="38"/>
      <c r="H1043" s="38" t="s">
        <v>2123</v>
      </c>
      <c r="I1043" s="38" t="s">
        <v>2124</v>
      </c>
      <c r="J1043" s="38"/>
      <c r="K1043" s="38"/>
      <c r="L1043" s="38" t="s">
        <v>2125</v>
      </c>
      <c r="M1043" s="38">
        <v>1</v>
      </c>
      <c r="N1043" s="38"/>
      <c r="O1043" s="10"/>
      <c r="P1043" s="25" t="str">
        <f>HYPERLINK("http://biade.itrust.de/biade/lpext.dll?f=id&amp;id=biadb%3Ar%3A013360&amp;t=main-h.htm","13360")</f>
        <v>13360</v>
      </c>
    </row>
    <row r="1044" spans="1:16" ht="25.5">
      <c r="A1044" s="49" t="s">
        <v>571</v>
      </c>
      <c r="B1044" s="7" t="s">
        <v>1085</v>
      </c>
      <c r="C1044" s="51" t="s">
        <v>572</v>
      </c>
      <c r="D1044" s="49" t="s">
        <v>2134</v>
      </c>
      <c r="E1044" s="47">
        <v>36</v>
      </c>
      <c r="F1044" s="47"/>
      <c r="G1044" s="47"/>
      <c r="H1044" s="47" t="s">
        <v>2164</v>
      </c>
      <c r="I1044" s="47" t="s">
        <v>2124</v>
      </c>
      <c r="J1044" s="47"/>
      <c r="K1044" s="47" t="s">
        <v>2188</v>
      </c>
      <c r="L1044" s="47" t="s">
        <v>2165</v>
      </c>
      <c r="M1044" s="47">
        <v>1</v>
      </c>
      <c r="N1044" s="47"/>
      <c r="O1044" s="49"/>
      <c r="P1044" s="51"/>
    </row>
    <row r="1045" spans="1:16" ht="15.75" thickBot="1">
      <c r="A1045" s="50"/>
      <c r="B1045" s="10" t="s">
        <v>1262</v>
      </c>
      <c r="C1045" s="52"/>
      <c r="D1045" s="50"/>
      <c r="E1045" s="48"/>
      <c r="F1045" s="48"/>
      <c r="G1045" s="48"/>
      <c r="H1045" s="48"/>
      <c r="I1045" s="48"/>
      <c r="J1045" s="48"/>
      <c r="K1045" s="48"/>
      <c r="L1045" s="48"/>
      <c r="M1045" s="48"/>
      <c r="N1045" s="48"/>
      <c r="O1045" s="50"/>
      <c r="P1045" s="52"/>
    </row>
    <row r="1046" spans="1:16" ht="26.25" thickBot="1">
      <c r="A1046" s="6" t="s">
        <v>573</v>
      </c>
      <c r="B1046" s="10" t="s">
        <v>1084</v>
      </c>
      <c r="C1046" s="11" t="s">
        <v>574</v>
      </c>
      <c r="D1046" s="10" t="s">
        <v>3778</v>
      </c>
      <c r="E1046" s="38" t="s">
        <v>575</v>
      </c>
      <c r="F1046" s="38" t="s">
        <v>576</v>
      </c>
      <c r="G1046" s="38"/>
      <c r="H1046" s="38" t="s">
        <v>2129</v>
      </c>
      <c r="I1046" s="38" t="s">
        <v>2124</v>
      </c>
      <c r="J1046" s="38"/>
      <c r="K1046" s="38" t="s">
        <v>2533</v>
      </c>
      <c r="L1046" s="38" t="s">
        <v>2130</v>
      </c>
      <c r="M1046" s="38"/>
      <c r="N1046" s="38" t="s">
        <v>4001</v>
      </c>
      <c r="O1046" s="10"/>
      <c r="P1046" s="25" t="str">
        <f>HYPERLINK("http://biade.itrust.de/biade/lpext.dll?f=id&amp;id=biadb%3Ar%3A510460&amp;t=main-h.htm","510460")</f>
        <v>510460</v>
      </c>
    </row>
    <row r="1047" spans="1:16" ht="15.75" thickBot="1">
      <c r="A1047" s="6" t="s">
        <v>577</v>
      </c>
      <c r="B1047" s="10" t="s">
        <v>578</v>
      </c>
      <c r="C1047" s="11" t="s">
        <v>579</v>
      </c>
      <c r="D1047" s="10" t="s">
        <v>2227</v>
      </c>
      <c r="E1047" s="38" t="s">
        <v>580</v>
      </c>
      <c r="F1047" s="38" t="s">
        <v>3884</v>
      </c>
      <c r="G1047" s="38"/>
      <c r="H1047" s="38" t="s">
        <v>3220</v>
      </c>
      <c r="I1047" s="38" t="s">
        <v>2124</v>
      </c>
      <c r="J1047" s="38"/>
      <c r="K1047" s="38"/>
      <c r="L1047" s="38" t="s">
        <v>2130</v>
      </c>
      <c r="M1047" s="38">
        <v>1</v>
      </c>
      <c r="N1047" s="38" t="s">
        <v>581</v>
      </c>
      <c r="O1047" s="10"/>
      <c r="P1047" s="25" t="str">
        <f>HYPERLINK("http://biade.itrust.de/biade/lpext.dll?f=id&amp;id=biadb%3Ar%3A014310&amp;t=main-h.htm","14310")</f>
        <v>14310</v>
      </c>
    </row>
    <row r="1048" spans="1:16" ht="15.75" thickBot="1">
      <c r="A1048" s="6" t="s">
        <v>582</v>
      </c>
      <c r="B1048" s="10"/>
      <c r="C1048" s="11" t="s">
        <v>583</v>
      </c>
      <c r="D1048" s="10" t="s">
        <v>2476</v>
      </c>
      <c r="E1048" s="38">
        <v>12</v>
      </c>
      <c r="F1048" s="38" t="s">
        <v>2507</v>
      </c>
      <c r="G1048" s="38"/>
      <c r="H1048" s="38" t="s">
        <v>500</v>
      </c>
      <c r="I1048" s="38" t="s">
        <v>2124</v>
      </c>
      <c r="J1048" s="38"/>
      <c r="K1048" s="38" t="s">
        <v>2457</v>
      </c>
      <c r="L1048" s="38" t="s">
        <v>2202</v>
      </c>
      <c r="M1048" s="38" t="s">
        <v>2221</v>
      </c>
      <c r="N1048" s="38"/>
      <c r="O1048" s="10"/>
      <c r="P1048" s="25" t="str">
        <f>HYPERLINK("http://biade.itrust.de/biade/lpext.dll?f=id&amp;id=biadb%3Ar%3A010000&amp;t=main-h.htm","10000")</f>
        <v>10000</v>
      </c>
    </row>
    <row r="1049" spans="1:16" ht="15.75" thickBot="1">
      <c r="A1049" s="6" t="s">
        <v>584</v>
      </c>
      <c r="B1049" s="10" t="s">
        <v>1083</v>
      </c>
      <c r="C1049" s="11"/>
      <c r="D1049" s="10"/>
      <c r="E1049" s="38"/>
      <c r="F1049" s="38"/>
      <c r="G1049" s="38"/>
      <c r="H1049" s="38"/>
      <c r="I1049" s="38" t="s">
        <v>2124</v>
      </c>
      <c r="J1049" s="38"/>
      <c r="K1049" s="38"/>
      <c r="L1049" s="38"/>
      <c r="M1049" s="38"/>
      <c r="N1049" s="38"/>
      <c r="O1049" s="10"/>
      <c r="P1049" s="11"/>
    </row>
    <row r="1050" spans="1:16" ht="15">
      <c r="A1050" s="49" t="s">
        <v>585</v>
      </c>
      <c r="B1050" s="49"/>
      <c r="C1050" s="51" t="s">
        <v>31</v>
      </c>
      <c r="D1050" s="49" t="s">
        <v>4071</v>
      </c>
      <c r="E1050" s="47" t="s">
        <v>586</v>
      </c>
      <c r="F1050" s="47" t="s">
        <v>33</v>
      </c>
      <c r="G1050" s="47" t="s">
        <v>2183</v>
      </c>
      <c r="H1050" s="47" t="s">
        <v>1245</v>
      </c>
      <c r="I1050" s="39">
        <v>270</v>
      </c>
      <c r="J1050" s="47">
        <v>4</v>
      </c>
      <c r="K1050" s="47" t="s">
        <v>1239</v>
      </c>
      <c r="L1050" s="47" t="s">
        <v>2130</v>
      </c>
      <c r="M1050" s="47">
        <v>1</v>
      </c>
      <c r="N1050" s="47" t="s">
        <v>2771</v>
      </c>
      <c r="O1050" s="49"/>
      <c r="P1050" s="51"/>
    </row>
    <row r="1051" spans="1:16" ht="15.75" thickBot="1">
      <c r="A1051" s="50"/>
      <c r="B1051" s="50"/>
      <c r="C1051" s="52"/>
      <c r="D1051" s="50"/>
      <c r="E1051" s="48"/>
      <c r="F1051" s="48"/>
      <c r="G1051" s="48"/>
      <c r="H1051" s="48"/>
      <c r="I1051" s="38">
        <v>200</v>
      </c>
      <c r="J1051" s="48"/>
      <c r="K1051" s="48"/>
      <c r="L1051" s="48"/>
      <c r="M1051" s="48"/>
      <c r="N1051" s="48"/>
      <c r="O1051" s="50"/>
      <c r="P1051" s="52"/>
    </row>
    <row r="1052" spans="1:16" ht="15">
      <c r="A1052" s="49" t="s">
        <v>970</v>
      </c>
      <c r="B1052" s="49" t="s">
        <v>1082</v>
      </c>
      <c r="C1052" s="51" t="s">
        <v>587</v>
      </c>
      <c r="D1052" s="49"/>
      <c r="E1052" s="47">
        <v>10</v>
      </c>
      <c r="F1052" s="47"/>
      <c r="G1052" s="47"/>
      <c r="H1052" s="47" t="s">
        <v>502</v>
      </c>
      <c r="I1052" s="39">
        <v>270</v>
      </c>
      <c r="J1052" s="47">
        <v>1</v>
      </c>
      <c r="K1052" s="47" t="s">
        <v>2533</v>
      </c>
      <c r="L1052" s="47" t="s">
        <v>2130</v>
      </c>
      <c r="M1052" s="47">
        <v>1</v>
      </c>
      <c r="N1052" s="47"/>
      <c r="O1052" s="49"/>
      <c r="P1052" s="51"/>
    </row>
    <row r="1053" spans="1:16" ht="15.75" thickBot="1">
      <c r="A1053" s="50"/>
      <c r="B1053" s="50"/>
      <c r="C1053" s="52"/>
      <c r="D1053" s="50"/>
      <c r="E1053" s="48"/>
      <c r="F1053" s="48"/>
      <c r="G1053" s="48"/>
      <c r="H1053" s="48"/>
      <c r="I1053" s="38">
        <v>50</v>
      </c>
      <c r="J1053" s="48"/>
      <c r="K1053" s="48"/>
      <c r="L1053" s="48"/>
      <c r="M1053" s="48"/>
      <c r="N1053" s="48"/>
      <c r="O1053" s="50"/>
      <c r="P1053" s="52"/>
    </row>
    <row r="1054" spans="1:16" ht="15.75" thickBot="1">
      <c r="A1054" s="6" t="s">
        <v>588</v>
      </c>
      <c r="B1054" s="18" t="s">
        <v>589</v>
      </c>
      <c r="C1054" s="11" t="s">
        <v>590</v>
      </c>
      <c r="D1054" s="10" t="s">
        <v>1229</v>
      </c>
      <c r="E1054" s="38" t="s">
        <v>591</v>
      </c>
      <c r="F1054" s="38" t="s">
        <v>1231</v>
      </c>
      <c r="G1054" s="38" t="s">
        <v>4155</v>
      </c>
      <c r="H1054" s="38" t="s">
        <v>2185</v>
      </c>
      <c r="I1054" s="38" t="s">
        <v>2124</v>
      </c>
      <c r="J1054" s="38"/>
      <c r="K1054" s="38" t="s">
        <v>2187</v>
      </c>
      <c r="L1054" s="38" t="s">
        <v>2130</v>
      </c>
      <c r="M1054" s="38">
        <v>3</v>
      </c>
      <c r="N1054" s="38"/>
      <c r="O1054" s="10"/>
      <c r="P1054" s="25" t="str">
        <f>HYPERLINK("http://biade.itrust.de/biade/lpext.dll?f=id&amp;id=biadb%3Ar%3A010440&amp;t=main-h.htm","10440")</f>
        <v>10440</v>
      </c>
    </row>
    <row r="1055" spans="1:16" ht="15.75" thickBot="1">
      <c r="A1055" s="6" t="s">
        <v>592</v>
      </c>
      <c r="B1055" s="18" t="s">
        <v>593</v>
      </c>
      <c r="C1055" s="11" t="s">
        <v>594</v>
      </c>
      <c r="D1055" s="10" t="s">
        <v>2128</v>
      </c>
      <c r="E1055" s="38" t="s">
        <v>595</v>
      </c>
      <c r="F1055" s="38" t="s">
        <v>596</v>
      </c>
      <c r="G1055" s="38" t="s">
        <v>2184</v>
      </c>
      <c r="H1055" s="38" t="s">
        <v>2164</v>
      </c>
      <c r="I1055" s="38" t="s">
        <v>2124</v>
      </c>
      <c r="J1055" s="38"/>
      <c r="K1055" s="38" t="s">
        <v>2188</v>
      </c>
      <c r="L1055" s="38" t="s">
        <v>2130</v>
      </c>
      <c r="M1055" s="38">
        <v>1</v>
      </c>
      <c r="N1055" s="38"/>
      <c r="O1055" s="10"/>
      <c r="P1055" s="25" t="str">
        <f>HYPERLINK("http://biade.itrust.de/biade/lpext.dll?f=id&amp;id=biadb%3Ar%3A493210&amp;t=main-h.htm","493210")</f>
        <v>493210</v>
      </c>
    </row>
    <row r="1056" spans="1:16" ht="15.75" thickBot="1">
      <c r="A1056" s="6" t="s">
        <v>597</v>
      </c>
      <c r="B1056" s="18" t="s">
        <v>598</v>
      </c>
      <c r="C1056" s="11" t="s">
        <v>599</v>
      </c>
      <c r="D1056" s="10" t="s">
        <v>828</v>
      </c>
      <c r="E1056" s="38" t="s">
        <v>600</v>
      </c>
      <c r="F1056" s="38" t="s">
        <v>879</v>
      </c>
      <c r="G1056" s="38" t="s">
        <v>2183</v>
      </c>
      <c r="H1056" s="38" t="s">
        <v>601</v>
      </c>
      <c r="I1056" s="38" t="s">
        <v>2124</v>
      </c>
      <c r="J1056" s="38"/>
      <c r="K1056" s="38" t="s">
        <v>2157</v>
      </c>
      <c r="L1056" s="38" t="s">
        <v>2165</v>
      </c>
      <c r="M1056" s="38">
        <v>2</v>
      </c>
      <c r="N1056" s="38" t="s">
        <v>2070</v>
      </c>
      <c r="O1056" s="10"/>
      <c r="P1056" s="25" t="str">
        <f>HYPERLINK("http://biade.itrust.de/biade/lpext.dll?f=id&amp;id=biadb%3Ar%3A016300&amp;t=main-h.htm","16300")</f>
        <v>16300</v>
      </c>
    </row>
    <row r="1057" spans="1:16" ht="26.25" thickBot="1">
      <c r="A1057" s="6" t="s">
        <v>971</v>
      </c>
      <c r="B1057" s="10" t="s">
        <v>1081</v>
      </c>
      <c r="C1057" s="11" t="s">
        <v>602</v>
      </c>
      <c r="D1057" s="10" t="s">
        <v>2128</v>
      </c>
      <c r="E1057" s="38" t="s">
        <v>2431</v>
      </c>
      <c r="F1057" s="38" t="s">
        <v>2163</v>
      </c>
      <c r="G1057" s="38"/>
      <c r="H1057" s="38" t="s">
        <v>2129</v>
      </c>
      <c r="I1057" s="38" t="s">
        <v>2124</v>
      </c>
      <c r="J1057" s="38"/>
      <c r="K1057" s="38"/>
      <c r="L1057" s="38" t="s">
        <v>2130</v>
      </c>
      <c r="M1057" s="38">
        <v>1</v>
      </c>
      <c r="N1057" s="38"/>
      <c r="O1057" s="10"/>
      <c r="P1057" s="25" t="str">
        <f>HYPERLINK("http://biade.itrust.de/biade/lpext.dll?f=id&amp;id=biadb%3Ar%3A492862&amp;t=main-h.htm","492862")</f>
        <v>492862</v>
      </c>
    </row>
    <row r="1058" spans="1:16" ht="22.5" customHeight="1">
      <c r="A1058" s="49" t="s">
        <v>972</v>
      </c>
      <c r="B1058" s="49" t="s">
        <v>603</v>
      </c>
      <c r="C1058" s="51" t="s">
        <v>604</v>
      </c>
      <c r="D1058" s="49" t="s">
        <v>1229</v>
      </c>
      <c r="E1058" s="47" t="s">
        <v>605</v>
      </c>
      <c r="F1058" s="47" t="s">
        <v>1231</v>
      </c>
      <c r="G1058" s="47" t="s">
        <v>2292</v>
      </c>
      <c r="H1058" s="47" t="s">
        <v>689</v>
      </c>
      <c r="I1058" s="39">
        <v>25</v>
      </c>
      <c r="J1058" s="47">
        <v>8</v>
      </c>
      <c r="K1058" s="47" t="s">
        <v>2189</v>
      </c>
      <c r="L1058" s="47" t="s">
        <v>2130</v>
      </c>
      <c r="M1058" s="47">
        <v>1</v>
      </c>
      <c r="N1058" s="47"/>
      <c r="O1058" s="49"/>
      <c r="P1058" s="51"/>
    </row>
    <row r="1059" spans="1:16" ht="15.75" thickBot="1">
      <c r="A1059" s="50"/>
      <c r="B1059" s="50"/>
      <c r="C1059" s="52"/>
      <c r="D1059" s="50"/>
      <c r="E1059" s="48"/>
      <c r="F1059" s="48"/>
      <c r="G1059" s="48"/>
      <c r="H1059" s="48"/>
      <c r="I1059" s="38">
        <v>5</v>
      </c>
      <c r="J1059" s="48"/>
      <c r="K1059" s="48"/>
      <c r="L1059" s="48"/>
      <c r="M1059" s="48"/>
      <c r="N1059" s="48"/>
      <c r="O1059" s="50"/>
      <c r="P1059" s="52"/>
    </row>
    <row r="1060" spans="1:16" ht="15.75" thickBot="1">
      <c r="A1060" s="6" t="s">
        <v>606</v>
      </c>
      <c r="B1060" s="10" t="s">
        <v>607</v>
      </c>
      <c r="C1060" s="11" t="s">
        <v>608</v>
      </c>
      <c r="D1060" s="10" t="s">
        <v>2128</v>
      </c>
      <c r="E1060" s="38" t="s">
        <v>609</v>
      </c>
      <c r="F1060" s="38">
        <v>46</v>
      </c>
      <c r="G1060" s="38"/>
      <c r="H1060" s="38" t="s">
        <v>2129</v>
      </c>
      <c r="I1060" s="38" t="s">
        <v>2124</v>
      </c>
      <c r="J1060" s="38"/>
      <c r="K1060" s="38" t="s">
        <v>2533</v>
      </c>
      <c r="L1060" s="38" t="s">
        <v>2130</v>
      </c>
      <c r="M1060" s="38">
        <v>1</v>
      </c>
      <c r="N1060" s="38" t="s">
        <v>2144</v>
      </c>
      <c r="O1060" s="10"/>
      <c r="P1060" s="25" t="str">
        <f>HYPERLINK("http://biade.itrust.de/biade/lpext.dll?f=id&amp;id=biadb%3Ar%3A510043&amp;t=main-h.htm","510043")</f>
        <v>510043</v>
      </c>
    </row>
    <row r="1061" spans="1:16" ht="15.75" thickBot="1">
      <c r="A1061" s="6" t="s">
        <v>610</v>
      </c>
      <c r="B1061" s="18" t="s">
        <v>1080</v>
      </c>
      <c r="C1061" s="11" t="s">
        <v>611</v>
      </c>
      <c r="D1061" s="10" t="s">
        <v>3778</v>
      </c>
      <c r="E1061" s="38" t="s">
        <v>612</v>
      </c>
      <c r="F1061" s="38">
        <v>46</v>
      </c>
      <c r="G1061" s="38"/>
      <c r="H1061" s="38" t="s">
        <v>2164</v>
      </c>
      <c r="I1061" s="38" t="s">
        <v>2124</v>
      </c>
      <c r="J1061" s="38"/>
      <c r="K1061" s="38" t="s">
        <v>2533</v>
      </c>
      <c r="L1061" s="38" t="s">
        <v>2130</v>
      </c>
      <c r="M1061" s="38">
        <v>1</v>
      </c>
      <c r="N1061" s="38" t="s">
        <v>2144</v>
      </c>
      <c r="O1061" s="10"/>
      <c r="P1061" s="25" t="str">
        <f>HYPERLINK("http://biade.itrust.de/biade/lpext.dll?f=id&amp;id=biadb%3Ar%3A510287&amp;t=main-h.htm","510287")</f>
        <v>510287</v>
      </c>
    </row>
    <row r="1062" spans="1:16" ht="15">
      <c r="A1062" s="49" t="s">
        <v>2498</v>
      </c>
      <c r="B1062" s="53" t="s">
        <v>2497</v>
      </c>
      <c r="C1062" s="51" t="s">
        <v>2499</v>
      </c>
      <c r="D1062" s="49" t="s">
        <v>3778</v>
      </c>
      <c r="E1062" s="47" t="s">
        <v>613</v>
      </c>
      <c r="F1062" s="47" t="s">
        <v>614</v>
      </c>
      <c r="G1062" s="47" t="s">
        <v>2183</v>
      </c>
      <c r="H1062" s="47" t="s">
        <v>2164</v>
      </c>
      <c r="I1062" s="39">
        <v>62</v>
      </c>
      <c r="J1062" s="47">
        <v>4</v>
      </c>
      <c r="K1062" s="47" t="s">
        <v>2533</v>
      </c>
      <c r="L1062" s="47" t="s">
        <v>2130</v>
      </c>
      <c r="M1062" s="47">
        <v>1</v>
      </c>
      <c r="N1062" s="47" t="s">
        <v>2144</v>
      </c>
      <c r="O1062" s="49"/>
      <c r="P1062" s="51"/>
    </row>
    <row r="1063" spans="1:16" ht="15.75" thickBot="1">
      <c r="A1063" s="50"/>
      <c r="B1063" s="54"/>
      <c r="C1063" s="52"/>
      <c r="D1063" s="50"/>
      <c r="E1063" s="48"/>
      <c r="F1063" s="48"/>
      <c r="G1063" s="48"/>
      <c r="H1063" s="48"/>
      <c r="I1063" s="38">
        <v>20</v>
      </c>
      <c r="J1063" s="48"/>
      <c r="K1063" s="48"/>
      <c r="L1063" s="48"/>
      <c r="M1063" s="48"/>
      <c r="N1063" s="48"/>
      <c r="O1063" s="50"/>
      <c r="P1063" s="52"/>
    </row>
    <row r="1064" spans="1:16" ht="35.25" customHeight="1">
      <c r="A1064" s="49" t="s">
        <v>615</v>
      </c>
      <c r="B1064" s="7" t="s">
        <v>616</v>
      </c>
      <c r="C1064" s="51" t="s">
        <v>617</v>
      </c>
      <c r="D1064" s="49" t="s">
        <v>1229</v>
      </c>
      <c r="E1064" s="47" t="s">
        <v>618</v>
      </c>
      <c r="F1064" s="47" t="s">
        <v>2524</v>
      </c>
      <c r="G1064" s="47"/>
      <c r="H1064" s="47" t="s">
        <v>3220</v>
      </c>
      <c r="I1064" s="47" t="s">
        <v>2124</v>
      </c>
      <c r="J1064" s="47"/>
      <c r="K1064" s="47"/>
      <c r="L1064" s="47" t="s">
        <v>2165</v>
      </c>
      <c r="M1064" s="47"/>
      <c r="N1064" s="47"/>
      <c r="O1064" s="49"/>
      <c r="P1064" s="51"/>
    </row>
    <row r="1065" spans="1:16" ht="15.75" thickBot="1">
      <c r="A1065" s="50"/>
      <c r="B1065" s="10" t="s">
        <v>5</v>
      </c>
      <c r="C1065" s="52"/>
      <c r="D1065" s="50"/>
      <c r="E1065" s="48"/>
      <c r="F1065" s="48"/>
      <c r="G1065" s="48"/>
      <c r="H1065" s="48"/>
      <c r="I1065" s="48"/>
      <c r="J1065" s="48"/>
      <c r="K1065" s="48"/>
      <c r="L1065" s="48"/>
      <c r="M1065" s="48"/>
      <c r="N1065" s="48"/>
      <c r="O1065" s="50"/>
      <c r="P1065" s="52"/>
    </row>
    <row r="1066" spans="1:16" ht="15.75" thickBot="1">
      <c r="A1066" s="6" t="s">
        <v>619</v>
      </c>
      <c r="B1066" s="10" t="s">
        <v>1079</v>
      </c>
      <c r="C1066" s="11" t="s">
        <v>620</v>
      </c>
      <c r="D1066" s="10" t="s">
        <v>2128</v>
      </c>
      <c r="E1066" s="38" t="s">
        <v>609</v>
      </c>
      <c r="F1066" s="38">
        <v>46</v>
      </c>
      <c r="G1066" s="38"/>
      <c r="H1066" s="38" t="s">
        <v>2164</v>
      </c>
      <c r="I1066" s="38" t="s">
        <v>2124</v>
      </c>
      <c r="J1066" s="38"/>
      <c r="K1066" s="38" t="s">
        <v>2533</v>
      </c>
      <c r="L1066" s="38" t="s">
        <v>2130</v>
      </c>
      <c r="M1066" s="38">
        <v>1</v>
      </c>
      <c r="N1066" s="38"/>
      <c r="O1066" s="10"/>
      <c r="P1066" s="25" t="str">
        <f>HYPERLINK("http://biade.itrust.de/biade/lpext.dll?f=id&amp;id=biadb%3Ar%3A029140&amp;t=main-h.htm","29140")</f>
        <v>29140</v>
      </c>
    </row>
    <row r="1067" spans="1:16" ht="15">
      <c r="A1067" s="49" t="s">
        <v>621</v>
      </c>
      <c r="B1067" s="49" t="s">
        <v>1078</v>
      </c>
      <c r="C1067" s="51" t="s">
        <v>622</v>
      </c>
      <c r="D1067" s="49" t="s">
        <v>3771</v>
      </c>
      <c r="E1067" s="47" t="s">
        <v>3772</v>
      </c>
      <c r="F1067" s="47" t="s">
        <v>210</v>
      </c>
      <c r="G1067" s="47" t="s">
        <v>2183</v>
      </c>
      <c r="H1067" s="47" t="s">
        <v>2164</v>
      </c>
      <c r="I1067" s="39">
        <v>610</v>
      </c>
      <c r="J1067" s="47">
        <v>4</v>
      </c>
      <c r="K1067" s="47" t="s">
        <v>2503</v>
      </c>
      <c r="L1067" s="47" t="s">
        <v>2130</v>
      </c>
      <c r="M1067" s="47">
        <v>1</v>
      </c>
      <c r="N1067" s="47"/>
      <c r="O1067" s="49"/>
      <c r="P1067" s="51"/>
    </row>
    <row r="1068" spans="1:16" ht="15.75" thickBot="1">
      <c r="A1068" s="50"/>
      <c r="B1068" s="50"/>
      <c r="C1068" s="52"/>
      <c r="D1068" s="50"/>
      <c r="E1068" s="48"/>
      <c r="F1068" s="48"/>
      <c r="G1068" s="48"/>
      <c r="H1068" s="48"/>
      <c r="I1068" s="38">
        <v>200</v>
      </c>
      <c r="J1068" s="48"/>
      <c r="K1068" s="48"/>
      <c r="L1068" s="48"/>
      <c r="M1068" s="48"/>
      <c r="N1068" s="48"/>
      <c r="O1068" s="50"/>
      <c r="P1068" s="52"/>
    </row>
    <row r="1069" spans="1:16" ht="15">
      <c r="A1069" s="49" t="s">
        <v>623</v>
      </c>
      <c r="B1069" s="49" t="s">
        <v>624</v>
      </c>
      <c r="C1069" s="51" t="s">
        <v>625</v>
      </c>
      <c r="D1069" s="49" t="s">
        <v>3778</v>
      </c>
      <c r="E1069" s="47" t="s">
        <v>2262</v>
      </c>
      <c r="F1069" s="47" t="s">
        <v>626</v>
      </c>
      <c r="G1069" s="47" t="s">
        <v>2264</v>
      </c>
      <c r="H1069" s="47" t="s">
        <v>2129</v>
      </c>
      <c r="I1069" s="39">
        <v>18</v>
      </c>
      <c r="J1069" s="47">
        <v>1</v>
      </c>
      <c r="K1069" s="47" t="s">
        <v>2533</v>
      </c>
      <c r="L1069" s="47" t="s">
        <v>2130</v>
      </c>
      <c r="M1069" s="47">
        <v>2</v>
      </c>
      <c r="N1069" s="47" t="s">
        <v>2144</v>
      </c>
      <c r="O1069" s="49"/>
      <c r="P1069" s="51"/>
    </row>
    <row r="1070" spans="1:16" ht="15.75" thickBot="1">
      <c r="A1070" s="50"/>
      <c r="B1070" s="50"/>
      <c r="C1070" s="52"/>
      <c r="D1070" s="50"/>
      <c r="E1070" s="48"/>
      <c r="F1070" s="48"/>
      <c r="G1070" s="48"/>
      <c r="H1070" s="48"/>
      <c r="I1070" s="38">
        <v>5</v>
      </c>
      <c r="J1070" s="48"/>
      <c r="K1070" s="48"/>
      <c r="L1070" s="48"/>
      <c r="M1070" s="48"/>
      <c r="N1070" s="48"/>
      <c r="O1070" s="50"/>
      <c r="P1070" s="52"/>
    </row>
    <row r="1071" spans="1:16" ht="15">
      <c r="A1071" s="49" t="s">
        <v>627</v>
      </c>
      <c r="B1071" s="49"/>
      <c r="C1071" s="51" t="s">
        <v>628</v>
      </c>
      <c r="D1071" s="49" t="s">
        <v>2802</v>
      </c>
      <c r="E1071" s="47" t="s">
        <v>629</v>
      </c>
      <c r="F1071" s="47" t="s">
        <v>55</v>
      </c>
      <c r="G1071" s="47"/>
      <c r="H1071" s="47" t="s">
        <v>501</v>
      </c>
      <c r="I1071" s="39">
        <v>13</v>
      </c>
      <c r="J1071" s="47" t="s">
        <v>630</v>
      </c>
      <c r="K1071" s="47"/>
      <c r="L1071" s="47" t="s">
        <v>2202</v>
      </c>
      <c r="M1071" s="47">
        <v>2</v>
      </c>
      <c r="N1071" s="47" t="s">
        <v>631</v>
      </c>
      <c r="O1071" s="49"/>
      <c r="P1071" s="51"/>
    </row>
    <row r="1072" spans="1:16" ht="15.75" thickBot="1">
      <c r="A1072" s="50"/>
      <c r="B1072" s="50"/>
      <c r="C1072" s="52"/>
      <c r="D1072" s="50"/>
      <c r="E1072" s="48"/>
      <c r="F1072" s="48"/>
      <c r="G1072" s="48"/>
      <c r="H1072" s="48"/>
      <c r="I1072" s="38">
        <v>10</v>
      </c>
      <c r="J1072" s="48"/>
      <c r="K1072" s="48"/>
      <c r="L1072" s="48"/>
      <c r="M1072" s="48"/>
      <c r="N1072" s="48"/>
      <c r="O1072" s="50"/>
      <c r="P1072" s="52"/>
    </row>
    <row r="1073" spans="1:16" ht="15">
      <c r="A1073" s="49" t="s">
        <v>973</v>
      </c>
      <c r="B1073" s="7" t="s">
        <v>1077</v>
      </c>
      <c r="C1073" s="51" t="s">
        <v>632</v>
      </c>
      <c r="D1073" s="49" t="s">
        <v>2128</v>
      </c>
      <c r="E1073" s="47">
        <v>22</v>
      </c>
      <c r="F1073" s="47" t="s">
        <v>4026</v>
      </c>
      <c r="G1073" s="47"/>
      <c r="H1073" s="47" t="s">
        <v>2129</v>
      </c>
      <c r="I1073" s="47" t="s">
        <v>2124</v>
      </c>
      <c r="J1073" s="47"/>
      <c r="K1073" s="47"/>
      <c r="L1073" s="47" t="s">
        <v>2165</v>
      </c>
      <c r="M1073" s="47">
        <v>1</v>
      </c>
      <c r="N1073" s="47"/>
      <c r="O1073" s="49"/>
      <c r="P1073" s="51"/>
    </row>
    <row r="1074" spans="1:16" ht="15.75" thickBot="1">
      <c r="A1074" s="50"/>
      <c r="B1074" s="10" t="s">
        <v>1262</v>
      </c>
      <c r="C1074" s="52"/>
      <c r="D1074" s="50"/>
      <c r="E1074" s="48"/>
      <c r="F1074" s="48"/>
      <c r="G1074" s="48"/>
      <c r="H1074" s="48"/>
      <c r="I1074" s="48"/>
      <c r="J1074" s="48"/>
      <c r="K1074" s="48"/>
      <c r="L1074" s="48"/>
      <c r="M1074" s="48"/>
      <c r="N1074" s="48"/>
      <c r="O1074" s="50"/>
      <c r="P1074" s="52"/>
    </row>
    <row r="1075" spans="1:16" ht="15">
      <c r="A1075" s="53" t="s">
        <v>633</v>
      </c>
      <c r="B1075" s="49"/>
      <c r="C1075" s="51" t="s">
        <v>634</v>
      </c>
      <c r="D1075" s="49" t="s">
        <v>2152</v>
      </c>
      <c r="E1075" s="47" t="s">
        <v>878</v>
      </c>
      <c r="F1075" s="47" t="s">
        <v>2758</v>
      </c>
      <c r="G1075" s="47"/>
      <c r="H1075" s="47" t="s">
        <v>3220</v>
      </c>
      <c r="I1075" s="39">
        <v>2.2</v>
      </c>
      <c r="J1075" s="47">
        <v>2</v>
      </c>
      <c r="K1075" s="47" t="s">
        <v>2189</v>
      </c>
      <c r="L1075" s="47" t="s">
        <v>2130</v>
      </c>
      <c r="M1075" s="47">
        <v>3</v>
      </c>
      <c r="N1075" s="47" t="s">
        <v>2798</v>
      </c>
      <c r="O1075" s="49"/>
      <c r="P1075" s="51"/>
    </row>
    <row r="1076" spans="1:16" ht="15.75" thickBot="1">
      <c r="A1076" s="54"/>
      <c r="B1076" s="50"/>
      <c r="C1076" s="52"/>
      <c r="D1076" s="50"/>
      <c r="E1076" s="48"/>
      <c r="F1076" s="48"/>
      <c r="G1076" s="48"/>
      <c r="H1076" s="48"/>
      <c r="I1076" s="38">
        <v>0.5</v>
      </c>
      <c r="J1076" s="48"/>
      <c r="K1076" s="48"/>
      <c r="L1076" s="48"/>
      <c r="M1076" s="48"/>
      <c r="N1076" s="48"/>
      <c r="O1076" s="50"/>
      <c r="P1076" s="52"/>
    </row>
    <row r="1077" spans="1:16" ht="15">
      <c r="A1077" s="49" t="s">
        <v>974</v>
      </c>
      <c r="B1077" s="26" t="s">
        <v>1076</v>
      </c>
      <c r="C1077" s="51" t="s">
        <v>635</v>
      </c>
      <c r="D1077" s="49" t="s">
        <v>2128</v>
      </c>
      <c r="E1077" s="47" t="s">
        <v>1890</v>
      </c>
      <c r="F1077" s="47" t="s">
        <v>636</v>
      </c>
      <c r="G1077" s="47"/>
      <c r="H1077" s="47" t="s">
        <v>2164</v>
      </c>
      <c r="I1077" s="47" t="s">
        <v>2124</v>
      </c>
      <c r="J1077" s="47"/>
      <c r="K1077" s="47" t="s">
        <v>2188</v>
      </c>
      <c r="L1077" s="47" t="s">
        <v>2130</v>
      </c>
      <c r="M1077" s="47">
        <v>1</v>
      </c>
      <c r="N1077" s="47"/>
      <c r="O1077" s="49"/>
      <c r="P1077" s="51"/>
    </row>
    <row r="1078" spans="1:16" ht="15.75" thickBot="1">
      <c r="A1078" s="50"/>
      <c r="B1078" s="10" t="s">
        <v>1957</v>
      </c>
      <c r="C1078" s="52"/>
      <c r="D1078" s="50"/>
      <c r="E1078" s="48"/>
      <c r="F1078" s="48"/>
      <c r="G1078" s="48"/>
      <c r="H1078" s="48"/>
      <c r="I1078" s="48"/>
      <c r="J1078" s="48"/>
      <c r="K1078" s="48"/>
      <c r="L1078" s="48"/>
      <c r="M1078" s="48"/>
      <c r="N1078" s="48"/>
      <c r="O1078" s="50"/>
      <c r="P1078" s="52"/>
    </row>
    <row r="1079" spans="1:16" ht="15">
      <c r="A1079" s="49" t="s">
        <v>637</v>
      </c>
      <c r="B1079" s="7" t="s">
        <v>638</v>
      </c>
      <c r="C1079" s="51" t="s">
        <v>639</v>
      </c>
      <c r="D1079" s="49" t="s">
        <v>2128</v>
      </c>
      <c r="E1079" s="47">
        <v>22</v>
      </c>
      <c r="F1079" s="47" t="s">
        <v>845</v>
      </c>
      <c r="G1079" s="47"/>
      <c r="H1079" s="47" t="s">
        <v>2164</v>
      </c>
      <c r="I1079" s="47" t="s">
        <v>2124</v>
      </c>
      <c r="J1079" s="47"/>
      <c r="K1079" s="47" t="s">
        <v>2188</v>
      </c>
      <c r="L1079" s="47" t="s">
        <v>2130</v>
      </c>
      <c r="M1079" s="47">
        <v>1</v>
      </c>
      <c r="N1079" s="47" t="s">
        <v>2144</v>
      </c>
      <c r="O1079" s="49"/>
      <c r="P1079" s="51"/>
    </row>
    <row r="1080" spans="1:16" ht="15.75" thickBot="1">
      <c r="A1080" s="50"/>
      <c r="B1080" s="10" t="s">
        <v>1262</v>
      </c>
      <c r="C1080" s="52"/>
      <c r="D1080" s="50"/>
      <c r="E1080" s="48"/>
      <c r="F1080" s="48"/>
      <c r="G1080" s="48"/>
      <c r="H1080" s="48"/>
      <c r="I1080" s="48"/>
      <c r="J1080" s="48"/>
      <c r="K1080" s="48"/>
      <c r="L1080" s="48"/>
      <c r="M1080" s="48"/>
      <c r="N1080" s="48"/>
      <c r="O1080" s="50"/>
      <c r="P1080" s="52"/>
    </row>
    <row r="1081" spans="1:16" ht="15.75" thickBot="1">
      <c r="A1081" s="6" t="s">
        <v>640</v>
      </c>
      <c r="B1081" s="10" t="s">
        <v>641</v>
      </c>
      <c r="C1081" s="11" t="s">
        <v>642</v>
      </c>
      <c r="D1081" s="10" t="s">
        <v>2470</v>
      </c>
      <c r="E1081" s="38" t="s">
        <v>643</v>
      </c>
      <c r="F1081" s="38" t="s">
        <v>2615</v>
      </c>
      <c r="G1081" s="38" t="s">
        <v>644</v>
      </c>
      <c r="H1081" s="38" t="s">
        <v>1232</v>
      </c>
      <c r="I1081" s="38" t="s">
        <v>2124</v>
      </c>
      <c r="J1081" s="38"/>
      <c r="K1081" s="38" t="s">
        <v>2187</v>
      </c>
      <c r="L1081" s="38" t="s">
        <v>2201</v>
      </c>
      <c r="M1081" s="38">
        <v>1</v>
      </c>
      <c r="N1081" s="38"/>
      <c r="O1081" s="10"/>
      <c r="P1081" s="25" t="str">
        <f>HYPERLINK("http://biade.itrust.de/biade/lpext.dll?f=id&amp;id=biadb%3Ar%3A012830&amp;t=main-h.htm","12830")</f>
        <v>12830</v>
      </c>
    </row>
    <row r="1082" spans="1:16" ht="15">
      <c r="A1082" s="49" t="s">
        <v>645</v>
      </c>
      <c r="B1082" s="49" t="s">
        <v>646</v>
      </c>
      <c r="C1082" s="51" t="s">
        <v>647</v>
      </c>
      <c r="D1082" s="49" t="s">
        <v>648</v>
      </c>
      <c r="E1082" s="47" t="s">
        <v>649</v>
      </c>
      <c r="F1082" s="47" t="s">
        <v>650</v>
      </c>
      <c r="G1082" s="47" t="s">
        <v>2183</v>
      </c>
      <c r="H1082" s="47" t="s">
        <v>501</v>
      </c>
      <c r="I1082" s="39">
        <v>3000</v>
      </c>
      <c r="J1082" s="47">
        <v>2</v>
      </c>
      <c r="K1082" s="47" t="s">
        <v>2503</v>
      </c>
      <c r="L1082" s="47" t="s">
        <v>2201</v>
      </c>
      <c r="M1082" s="47">
        <v>2</v>
      </c>
      <c r="N1082" s="47"/>
      <c r="O1082" s="49"/>
      <c r="P1082" s="51"/>
    </row>
    <row r="1083" spans="1:16" ht="15.75" thickBot="1">
      <c r="A1083" s="50"/>
      <c r="B1083" s="50"/>
      <c r="C1083" s="52"/>
      <c r="D1083" s="50"/>
      <c r="E1083" s="48"/>
      <c r="F1083" s="48"/>
      <c r="G1083" s="48"/>
      <c r="H1083" s="48"/>
      <c r="I1083" s="38">
        <v>1000</v>
      </c>
      <c r="J1083" s="48"/>
      <c r="K1083" s="48"/>
      <c r="L1083" s="48"/>
      <c r="M1083" s="48"/>
      <c r="N1083" s="48"/>
      <c r="O1083" s="50"/>
      <c r="P1083" s="52"/>
    </row>
    <row r="1084" spans="1:16" ht="15.75" thickBot="1">
      <c r="A1084" s="6" t="s">
        <v>975</v>
      </c>
      <c r="B1084" s="10" t="s">
        <v>651</v>
      </c>
      <c r="C1084" s="11" t="s">
        <v>652</v>
      </c>
      <c r="D1084" s="10" t="s">
        <v>2227</v>
      </c>
      <c r="E1084" s="38">
        <v>34</v>
      </c>
      <c r="F1084" s="38" t="s">
        <v>3884</v>
      </c>
      <c r="G1084" s="38"/>
      <c r="H1084" s="38" t="s">
        <v>2129</v>
      </c>
      <c r="I1084" s="38" t="s">
        <v>2124</v>
      </c>
      <c r="J1084" s="38"/>
      <c r="K1084" s="38" t="s">
        <v>2188</v>
      </c>
      <c r="L1084" s="38" t="s">
        <v>2130</v>
      </c>
      <c r="M1084" s="38">
        <v>1</v>
      </c>
      <c r="N1084" s="38" t="s">
        <v>4043</v>
      </c>
      <c r="O1084" s="10"/>
      <c r="P1084" s="25" t="str">
        <f>HYPERLINK("http://biade.itrust.de/biade/lpext.dll?f=id&amp;id=biadb%3Ar%3A037610&amp;t=main-h.htm","37610")</f>
        <v>37610</v>
      </c>
    </row>
    <row r="1085" spans="1:16" ht="15.75" thickBot="1">
      <c r="A1085" s="6" t="s">
        <v>653</v>
      </c>
      <c r="B1085" s="10" t="s">
        <v>654</v>
      </c>
      <c r="C1085" s="11" t="s">
        <v>655</v>
      </c>
      <c r="D1085" s="10" t="s">
        <v>2128</v>
      </c>
      <c r="E1085" s="38">
        <v>22</v>
      </c>
      <c r="F1085" s="38"/>
      <c r="G1085" s="38"/>
      <c r="H1085" s="38" t="s">
        <v>2164</v>
      </c>
      <c r="I1085" s="38" t="s">
        <v>2124</v>
      </c>
      <c r="J1085" s="38"/>
      <c r="K1085" s="38"/>
      <c r="L1085" s="38" t="s">
        <v>2130</v>
      </c>
      <c r="M1085" s="38">
        <v>2</v>
      </c>
      <c r="N1085" s="38" t="s">
        <v>2144</v>
      </c>
      <c r="O1085" s="10"/>
      <c r="P1085" s="25" t="str">
        <f>HYPERLINK("http://biade.itrust.de/biade/lpext.dll?f=id&amp;id=biadb%3Ar%3A100299&amp;t=main-h.htm","100299")</f>
        <v>100299</v>
      </c>
    </row>
    <row r="1086" spans="1:16" ht="15">
      <c r="A1086" s="49" t="s">
        <v>656</v>
      </c>
      <c r="B1086" s="49" t="s">
        <v>1075</v>
      </c>
      <c r="C1086" s="51" t="s">
        <v>657</v>
      </c>
      <c r="D1086" s="49" t="s">
        <v>2802</v>
      </c>
      <c r="E1086" s="47" t="s">
        <v>658</v>
      </c>
      <c r="F1086" s="47" t="s">
        <v>2289</v>
      </c>
      <c r="G1086" s="47" t="s">
        <v>2183</v>
      </c>
      <c r="H1086" s="47" t="s">
        <v>499</v>
      </c>
      <c r="I1086" s="39">
        <v>120</v>
      </c>
      <c r="J1086" s="47">
        <v>4</v>
      </c>
      <c r="K1086" s="47" t="s">
        <v>2503</v>
      </c>
      <c r="L1086" s="47" t="s">
        <v>2201</v>
      </c>
      <c r="M1086" s="47">
        <v>1</v>
      </c>
      <c r="N1086" s="47"/>
      <c r="O1086" s="49"/>
      <c r="P1086" s="51"/>
    </row>
    <row r="1087" spans="1:16" ht="15.75" thickBot="1">
      <c r="A1087" s="50"/>
      <c r="B1087" s="50"/>
      <c r="C1087" s="52"/>
      <c r="D1087" s="50"/>
      <c r="E1087" s="48"/>
      <c r="F1087" s="48"/>
      <c r="G1087" s="48"/>
      <c r="H1087" s="48"/>
      <c r="I1087" s="38">
        <v>50</v>
      </c>
      <c r="J1087" s="48"/>
      <c r="K1087" s="48"/>
      <c r="L1087" s="48"/>
      <c r="M1087" s="48"/>
      <c r="N1087" s="48"/>
      <c r="O1087" s="50"/>
      <c r="P1087" s="52"/>
    </row>
    <row r="1088" spans="1:16" ht="15" customHeight="1">
      <c r="A1088" s="49" t="s">
        <v>659</v>
      </c>
      <c r="B1088" s="49" t="s">
        <v>1074</v>
      </c>
      <c r="C1088" s="51" t="s">
        <v>660</v>
      </c>
      <c r="D1088" s="49" t="s">
        <v>1229</v>
      </c>
      <c r="E1088" s="47" t="s">
        <v>2247</v>
      </c>
      <c r="F1088" s="47" t="s">
        <v>1231</v>
      </c>
      <c r="G1088" s="47" t="s">
        <v>2292</v>
      </c>
      <c r="H1088" s="47" t="s">
        <v>689</v>
      </c>
      <c r="I1088" s="39">
        <v>16</v>
      </c>
      <c r="J1088" s="47">
        <v>8</v>
      </c>
      <c r="K1088" s="47" t="s">
        <v>2189</v>
      </c>
      <c r="L1088" s="47" t="s">
        <v>2130</v>
      </c>
      <c r="M1088" s="47">
        <v>1</v>
      </c>
      <c r="N1088" s="47"/>
      <c r="O1088" s="49"/>
      <c r="P1088" s="51"/>
    </row>
    <row r="1089" spans="1:16" ht="15.75" thickBot="1">
      <c r="A1089" s="50"/>
      <c r="B1089" s="50"/>
      <c r="C1089" s="52"/>
      <c r="D1089" s="50"/>
      <c r="E1089" s="48"/>
      <c r="F1089" s="48"/>
      <c r="G1089" s="48"/>
      <c r="H1089" s="48"/>
      <c r="I1089" s="38">
        <v>5</v>
      </c>
      <c r="J1089" s="48"/>
      <c r="K1089" s="48"/>
      <c r="L1089" s="48"/>
      <c r="M1089" s="48"/>
      <c r="N1089" s="48"/>
      <c r="O1089" s="50"/>
      <c r="P1089" s="52"/>
    </row>
    <row r="1090" spans="1:16" ht="15">
      <c r="A1090" s="5" t="s">
        <v>661</v>
      </c>
      <c r="B1090" s="49" t="s">
        <v>664</v>
      </c>
      <c r="C1090" s="51" t="s">
        <v>665</v>
      </c>
      <c r="D1090" s="49" t="s">
        <v>1242</v>
      </c>
      <c r="E1090" s="47" t="s">
        <v>4098</v>
      </c>
      <c r="F1090" s="47" t="s">
        <v>1244</v>
      </c>
      <c r="G1090" s="47"/>
      <c r="H1090" s="47" t="s">
        <v>2164</v>
      </c>
      <c r="I1090" s="47" t="s">
        <v>2124</v>
      </c>
      <c r="J1090" s="47"/>
      <c r="K1090" s="47"/>
      <c r="L1090" s="47" t="s">
        <v>2165</v>
      </c>
      <c r="M1090" s="47">
        <v>3</v>
      </c>
      <c r="N1090" s="47" t="s">
        <v>666</v>
      </c>
      <c r="O1090" s="49"/>
      <c r="P1090" s="51"/>
    </row>
    <row r="1091" spans="1:16" ht="15">
      <c r="A1091" s="5" t="s">
        <v>662</v>
      </c>
      <c r="B1091" s="56"/>
      <c r="C1091" s="57"/>
      <c r="D1091" s="56"/>
      <c r="E1091" s="55"/>
      <c r="F1091" s="55"/>
      <c r="G1091" s="55"/>
      <c r="H1091" s="55"/>
      <c r="I1091" s="55"/>
      <c r="J1091" s="55"/>
      <c r="K1091" s="55"/>
      <c r="L1091" s="55"/>
      <c r="M1091" s="55"/>
      <c r="N1091" s="55"/>
      <c r="O1091" s="56"/>
      <c r="P1091" s="57"/>
    </row>
    <row r="1092" spans="1:16" ht="15.75" thickBot="1">
      <c r="A1092" s="6" t="s">
        <v>663</v>
      </c>
      <c r="B1092" s="50"/>
      <c r="C1092" s="52"/>
      <c r="D1092" s="50"/>
      <c r="E1092" s="48"/>
      <c r="F1092" s="48"/>
      <c r="G1092" s="48"/>
      <c r="H1092" s="48"/>
      <c r="I1092" s="48"/>
      <c r="J1092" s="48"/>
      <c r="K1092" s="48"/>
      <c r="L1092" s="48"/>
      <c r="M1092" s="48"/>
      <c r="N1092" s="48"/>
      <c r="O1092" s="50"/>
      <c r="P1092" s="52"/>
    </row>
    <row r="1093" spans="1:16" ht="15">
      <c r="A1093" s="49" t="s">
        <v>667</v>
      </c>
      <c r="B1093" s="49" t="s">
        <v>1073</v>
      </c>
      <c r="C1093" s="51" t="s">
        <v>668</v>
      </c>
      <c r="D1093" s="49" t="s">
        <v>3771</v>
      </c>
      <c r="E1093" s="47" t="s">
        <v>669</v>
      </c>
      <c r="F1093" s="47" t="s">
        <v>670</v>
      </c>
      <c r="G1093" s="47" t="s">
        <v>2184</v>
      </c>
      <c r="H1093" s="47" t="s">
        <v>2164</v>
      </c>
      <c r="I1093" s="39">
        <v>210</v>
      </c>
      <c r="J1093" s="47">
        <v>2</v>
      </c>
      <c r="K1093" s="47" t="s">
        <v>2503</v>
      </c>
      <c r="L1093" s="47" t="s">
        <v>2130</v>
      </c>
      <c r="M1093" s="47">
        <v>1</v>
      </c>
      <c r="N1093" s="47" t="s">
        <v>671</v>
      </c>
      <c r="O1093" s="49"/>
      <c r="P1093" s="51"/>
    </row>
    <row r="1094" spans="1:16" ht="15.75" thickBot="1">
      <c r="A1094" s="50"/>
      <c r="B1094" s="50"/>
      <c r="C1094" s="52"/>
      <c r="D1094" s="50"/>
      <c r="E1094" s="48"/>
      <c r="F1094" s="48"/>
      <c r="G1094" s="48"/>
      <c r="H1094" s="48"/>
      <c r="I1094" s="38">
        <v>50</v>
      </c>
      <c r="J1094" s="48"/>
      <c r="K1094" s="48"/>
      <c r="L1094" s="48"/>
      <c r="M1094" s="48"/>
      <c r="N1094" s="48"/>
      <c r="O1094" s="50"/>
      <c r="P1094" s="52"/>
    </row>
    <row r="1095" spans="1:16" ht="15.75" thickBot="1">
      <c r="A1095" s="6" t="s">
        <v>672</v>
      </c>
      <c r="B1095" s="10" t="s">
        <v>673</v>
      </c>
      <c r="C1095" s="11" t="s">
        <v>1213</v>
      </c>
      <c r="D1095" s="10" t="s">
        <v>2128</v>
      </c>
      <c r="E1095" s="38" t="s">
        <v>1214</v>
      </c>
      <c r="F1095" s="38">
        <v>61</v>
      </c>
      <c r="G1095" s="38"/>
      <c r="H1095" s="38" t="s">
        <v>2164</v>
      </c>
      <c r="I1095" s="38" t="s">
        <v>2124</v>
      </c>
      <c r="J1095" s="38"/>
      <c r="K1095" s="38"/>
      <c r="L1095" s="38" t="s">
        <v>2130</v>
      </c>
      <c r="M1095" s="38">
        <v>2</v>
      </c>
      <c r="N1095" s="38"/>
      <c r="O1095" s="10"/>
      <c r="P1095" s="11"/>
    </row>
    <row r="1096" spans="1:16" ht="15.75" thickBot="1">
      <c r="A1096" s="6" t="s">
        <v>674</v>
      </c>
      <c r="B1096" s="10" t="s">
        <v>675</v>
      </c>
      <c r="C1096" s="11" t="s">
        <v>676</v>
      </c>
      <c r="D1096" s="10" t="s">
        <v>2187</v>
      </c>
      <c r="E1096" s="38" t="s">
        <v>2242</v>
      </c>
      <c r="F1096" s="38">
        <v>61</v>
      </c>
      <c r="G1096" s="38"/>
      <c r="H1096" s="38" t="s">
        <v>2123</v>
      </c>
      <c r="I1096" s="38" t="s">
        <v>2124</v>
      </c>
      <c r="J1096" s="38"/>
      <c r="K1096" s="38"/>
      <c r="L1096" s="38" t="s">
        <v>2130</v>
      </c>
      <c r="M1096" s="38">
        <v>2</v>
      </c>
      <c r="N1096" s="38"/>
      <c r="O1096" s="10"/>
      <c r="P1096" s="11"/>
    </row>
    <row r="1097" spans="1:16" ht="15">
      <c r="A1097" s="49" t="s">
        <v>677</v>
      </c>
      <c r="B1097" s="49" t="s">
        <v>678</v>
      </c>
      <c r="C1097" s="51" t="s">
        <v>679</v>
      </c>
      <c r="D1097" s="49" t="s">
        <v>1229</v>
      </c>
      <c r="E1097" s="47">
        <v>25</v>
      </c>
      <c r="F1097" s="47" t="s">
        <v>680</v>
      </c>
      <c r="G1097" s="47"/>
      <c r="H1097" s="39" t="s">
        <v>681</v>
      </c>
      <c r="I1097" s="47" t="s">
        <v>2124</v>
      </c>
      <c r="J1097" s="47"/>
      <c r="K1097" s="47" t="s">
        <v>2157</v>
      </c>
      <c r="L1097" s="47" t="s">
        <v>2165</v>
      </c>
      <c r="M1097" s="47">
        <v>3</v>
      </c>
      <c r="N1097" s="47" t="s">
        <v>3993</v>
      </c>
      <c r="O1097" s="49"/>
      <c r="P1097" s="51"/>
    </row>
    <row r="1098" spans="1:16" ht="15.75" thickBot="1">
      <c r="A1098" s="50"/>
      <c r="B1098" s="50"/>
      <c r="C1098" s="52"/>
      <c r="D1098" s="50"/>
      <c r="E1098" s="48"/>
      <c r="F1098" s="48"/>
      <c r="G1098" s="48"/>
      <c r="H1098" s="38" t="s">
        <v>682</v>
      </c>
      <c r="I1098" s="48"/>
      <c r="J1098" s="48"/>
      <c r="K1098" s="48"/>
      <c r="L1098" s="48"/>
      <c r="M1098" s="48"/>
      <c r="N1098" s="48"/>
      <c r="O1098" s="50"/>
      <c r="P1098" s="52"/>
    </row>
    <row r="1099" spans="1:16" ht="26.25" thickBot="1">
      <c r="A1099" s="6" t="s">
        <v>976</v>
      </c>
      <c r="B1099" s="10" t="s">
        <v>683</v>
      </c>
      <c r="C1099" s="11" t="s">
        <v>679</v>
      </c>
      <c r="D1099" s="10"/>
      <c r="E1099" s="38"/>
      <c r="F1099" s="38"/>
      <c r="G1099" s="38"/>
      <c r="H1099" s="38" t="s">
        <v>2123</v>
      </c>
      <c r="I1099" s="38" t="s">
        <v>2124</v>
      </c>
      <c r="J1099" s="38"/>
      <c r="K1099" s="38"/>
      <c r="L1099" s="38" t="s">
        <v>2130</v>
      </c>
      <c r="M1099" s="38">
        <v>1</v>
      </c>
      <c r="N1099" s="38"/>
      <c r="O1099" s="10"/>
      <c r="P1099" s="25" t="str">
        <f>HYPERLINK("http://biade.itrust.de/biade/lpext.dll?f=id&amp;id=biadb%3Ar%3A105039&amp;t=main-h.htm","105039")</f>
        <v>105039</v>
      </c>
    </row>
    <row r="1100" spans="1:16" ht="15">
      <c r="A1100" s="49" t="s">
        <v>684</v>
      </c>
      <c r="B1100" s="49" t="s">
        <v>3104</v>
      </c>
      <c r="C1100" s="51" t="s">
        <v>3105</v>
      </c>
      <c r="D1100" s="49" t="s">
        <v>3778</v>
      </c>
      <c r="E1100" s="47" t="s">
        <v>3106</v>
      </c>
      <c r="F1100" s="47" t="s">
        <v>2741</v>
      </c>
      <c r="G1100" s="47" t="s">
        <v>2183</v>
      </c>
      <c r="H1100" s="47" t="s">
        <v>2164</v>
      </c>
      <c r="I1100" s="39">
        <v>83</v>
      </c>
      <c r="J1100" s="47">
        <v>2</v>
      </c>
      <c r="K1100" s="47"/>
      <c r="L1100" s="47" t="s">
        <v>2130</v>
      </c>
      <c r="M1100" s="47">
        <v>1</v>
      </c>
      <c r="N1100" s="47"/>
      <c r="O1100" s="49"/>
      <c r="P1100" s="51"/>
    </row>
    <row r="1101" spans="1:16" ht="15.75" thickBot="1">
      <c r="A1101" s="50"/>
      <c r="B1101" s="50"/>
      <c r="C1101" s="52"/>
      <c r="D1101" s="50"/>
      <c r="E1101" s="48"/>
      <c r="F1101" s="48"/>
      <c r="G1101" s="48"/>
      <c r="H1101" s="48"/>
      <c r="I1101" s="38">
        <v>20</v>
      </c>
      <c r="J1101" s="48"/>
      <c r="K1101" s="48"/>
      <c r="L1101" s="48"/>
      <c r="M1101" s="48"/>
      <c r="N1101" s="48"/>
      <c r="O1101" s="50"/>
      <c r="P1101" s="52"/>
    </row>
    <row r="1102" spans="1:16" ht="15.75" thickBot="1">
      <c r="A1102" s="6" t="s">
        <v>3107</v>
      </c>
      <c r="B1102" s="10" t="s">
        <v>1072</v>
      </c>
      <c r="C1102" s="11" t="s">
        <v>3108</v>
      </c>
      <c r="D1102" s="10" t="s">
        <v>3859</v>
      </c>
      <c r="E1102" s="38">
        <v>11</v>
      </c>
      <c r="F1102" s="38" t="s">
        <v>3109</v>
      </c>
      <c r="G1102" s="38"/>
      <c r="H1102" s="38" t="s">
        <v>2164</v>
      </c>
      <c r="I1102" s="38" t="s">
        <v>2124</v>
      </c>
      <c r="J1102" s="38"/>
      <c r="K1102" s="38" t="s">
        <v>2533</v>
      </c>
      <c r="L1102" s="38" t="s">
        <v>2130</v>
      </c>
      <c r="M1102" s="38">
        <v>1</v>
      </c>
      <c r="N1102" s="38"/>
      <c r="O1102" s="10"/>
      <c r="P1102" s="25" t="str">
        <f>HYPERLINK("http://biade.itrust.de/biade/lpext.dll?f=id&amp;id=biadb%3Ar%3A017450&amp;t=main-h.htm","17450")</f>
        <v>17450</v>
      </c>
    </row>
    <row r="1103" spans="1:16" ht="15.75" thickBot="1">
      <c r="A1103" s="6" t="s">
        <v>3110</v>
      </c>
      <c r="B1103" s="10" t="s">
        <v>3111</v>
      </c>
      <c r="C1103" s="11" t="s">
        <v>3112</v>
      </c>
      <c r="D1103" s="10" t="s">
        <v>2128</v>
      </c>
      <c r="E1103" s="38" t="s">
        <v>3113</v>
      </c>
      <c r="F1103" s="38" t="s">
        <v>2163</v>
      </c>
      <c r="G1103" s="38"/>
      <c r="H1103" s="38" t="s">
        <v>2164</v>
      </c>
      <c r="I1103" s="38" t="s">
        <v>2124</v>
      </c>
      <c r="J1103" s="38"/>
      <c r="K1103" s="38" t="s">
        <v>2533</v>
      </c>
      <c r="L1103" s="38" t="s">
        <v>2130</v>
      </c>
      <c r="M1103" s="38">
        <v>1</v>
      </c>
      <c r="N1103" s="38" t="s">
        <v>2144</v>
      </c>
      <c r="O1103" s="10"/>
      <c r="P1103" s="25" t="str">
        <f>HYPERLINK("http://biade.itrust.de/biade/lpext.dll?f=id&amp;id=biadb%3Ar%3A018360&amp;t=main-h.htm","18360")</f>
        <v>18360</v>
      </c>
    </row>
    <row r="1104" spans="1:16" ht="15.75" thickBot="1">
      <c r="A1104" s="6" t="s">
        <v>3114</v>
      </c>
      <c r="B1104" s="10" t="s">
        <v>3115</v>
      </c>
      <c r="C1104" s="11" t="s">
        <v>3116</v>
      </c>
      <c r="D1104" s="10" t="s">
        <v>2128</v>
      </c>
      <c r="E1104" s="38" t="s">
        <v>3117</v>
      </c>
      <c r="F1104" s="38" t="s">
        <v>3987</v>
      </c>
      <c r="G1104" s="38"/>
      <c r="H1104" s="38" t="s">
        <v>2164</v>
      </c>
      <c r="I1104" s="38" t="s">
        <v>2124</v>
      </c>
      <c r="J1104" s="38"/>
      <c r="K1104" s="38" t="s">
        <v>2533</v>
      </c>
      <c r="L1104" s="38" t="s">
        <v>2130</v>
      </c>
      <c r="M1104" s="38">
        <v>1</v>
      </c>
      <c r="N1104" s="38" t="s">
        <v>2144</v>
      </c>
      <c r="O1104" s="10"/>
      <c r="P1104" s="11"/>
    </row>
    <row r="1105" spans="1:16" ht="15.75" thickBot="1">
      <c r="A1105" s="6" t="s">
        <v>3118</v>
      </c>
      <c r="B1105" s="10" t="s">
        <v>3119</v>
      </c>
      <c r="C1105" s="11" t="s">
        <v>3120</v>
      </c>
      <c r="D1105" s="10" t="s">
        <v>1229</v>
      </c>
      <c r="E1105" s="38" t="s">
        <v>3121</v>
      </c>
      <c r="F1105" s="38" t="s">
        <v>2524</v>
      </c>
      <c r="G1105" s="38"/>
      <c r="H1105" s="38" t="s">
        <v>1245</v>
      </c>
      <c r="I1105" s="38" t="s">
        <v>2124</v>
      </c>
      <c r="J1105" s="38"/>
      <c r="K1105" s="38" t="s">
        <v>1239</v>
      </c>
      <c r="L1105" s="38" t="s">
        <v>2130</v>
      </c>
      <c r="M1105" s="38">
        <v>1</v>
      </c>
      <c r="N1105" s="38"/>
      <c r="O1105" s="10"/>
      <c r="P1105" s="25" t="str">
        <f>HYPERLINK("http://biade.itrust.de/biade/lpext.dll?f=id&amp;id=biadb%3Ar%3A012430&amp;t=main-h.htm","12430")</f>
        <v>12430</v>
      </c>
    </row>
    <row r="1106" spans="1:16" ht="15.75" thickBot="1">
      <c r="A1106" s="6" t="s">
        <v>3122</v>
      </c>
      <c r="B1106" s="10" t="s">
        <v>3123</v>
      </c>
      <c r="C1106" s="11" t="s">
        <v>3124</v>
      </c>
      <c r="D1106" s="10"/>
      <c r="E1106" s="38"/>
      <c r="F1106" s="38"/>
      <c r="G1106" s="38"/>
      <c r="H1106" s="38" t="s">
        <v>2123</v>
      </c>
      <c r="I1106" s="38" t="s">
        <v>2124</v>
      </c>
      <c r="J1106" s="38"/>
      <c r="K1106" s="38"/>
      <c r="L1106" s="38" t="s">
        <v>2130</v>
      </c>
      <c r="M1106" s="38">
        <v>3</v>
      </c>
      <c r="N1106" s="38"/>
      <c r="O1106" s="10"/>
      <c r="P1106" s="11"/>
    </row>
    <row r="1107" spans="1:16" ht="15.75" thickBot="1">
      <c r="A1107" s="6" t="s">
        <v>3125</v>
      </c>
      <c r="B1107" s="10" t="s">
        <v>2121</v>
      </c>
      <c r="C1107" s="11" t="s">
        <v>3126</v>
      </c>
      <c r="D1107" s="10" t="s">
        <v>2128</v>
      </c>
      <c r="E1107" s="38">
        <v>22</v>
      </c>
      <c r="F1107" s="38">
        <v>26</v>
      </c>
      <c r="G1107" s="38"/>
      <c r="H1107" s="38" t="s">
        <v>2164</v>
      </c>
      <c r="I1107" s="38" t="s">
        <v>2124</v>
      </c>
      <c r="J1107" s="38"/>
      <c r="K1107" s="38" t="s">
        <v>2188</v>
      </c>
      <c r="L1107" s="38" t="s">
        <v>2130</v>
      </c>
      <c r="M1107" s="38">
        <v>1</v>
      </c>
      <c r="N1107" s="38" t="s">
        <v>2144</v>
      </c>
      <c r="O1107" s="10"/>
      <c r="P1107" s="25" t="str">
        <f>HYPERLINK("http://biade.itrust.de/biade/lpext.dll?f=id&amp;id=biadb%3Ar%3A025440&amp;t=main-h.htm","25440")</f>
        <v>25440</v>
      </c>
    </row>
    <row r="1108" spans="1:16" ht="15">
      <c r="A1108" s="58" t="s">
        <v>3127</v>
      </c>
      <c r="B1108" s="49" t="s">
        <v>3128</v>
      </c>
      <c r="C1108" s="51" t="s">
        <v>3129</v>
      </c>
      <c r="D1108" s="49" t="s">
        <v>713</v>
      </c>
      <c r="E1108" s="47" t="s">
        <v>3130</v>
      </c>
      <c r="F1108" s="47">
        <v>61</v>
      </c>
      <c r="G1108" s="47"/>
      <c r="H1108" s="47" t="s">
        <v>2164</v>
      </c>
      <c r="I1108" s="39">
        <v>250</v>
      </c>
      <c r="J1108" s="47">
        <v>2</v>
      </c>
      <c r="K1108" s="47" t="s">
        <v>2533</v>
      </c>
      <c r="L1108" s="47" t="s">
        <v>2130</v>
      </c>
      <c r="M1108" s="47">
        <v>2</v>
      </c>
      <c r="N1108" s="47" t="s">
        <v>3131</v>
      </c>
      <c r="O1108" s="49"/>
      <c r="P1108" s="51"/>
    </row>
    <row r="1109" spans="1:16" ht="15.75" thickBot="1">
      <c r="A1109" s="59"/>
      <c r="B1109" s="50"/>
      <c r="C1109" s="52"/>
      <c r="D1109" s="50"/>
      <c r="E1109" s="48"/>
      <c r="F1109" s="48"/>
      <c r="G1109" s="48"/>
      <c r="H1109" s="48"/>
      <c r="I1109" s="38">
        <v>50</v>
      </c>
      <c r="J1109" s="48"/>
      <c r="K1109" s="48"/>
      <c r="L1109" s="48"/>
      <c r="M1109" s="48"/>
      <c r="N1109" s="48"/>
      <c r="O1109" s="50"/>
      <c r="P1109" s="52"/>
    </row>
    <row r="1110" spans="1:16" ht="15.75" thickBot="1">
      <c r="A1110" s="6" t="s">
        <v>3132</v>
      </c>
      <c r="B1110" s="10" t="s">
        <v>3133</v>
      </c>
      <c r="C1110" s="11" t="s">
        <v>3134</v>
      </c>
      <c r="D1110" s="10" t="s">
        <v>3961</v>
      </c>
      <c r="E1110" s="38" t="s">
        <v>2360</v>
      </c>
      <c r="F1110" s="38" t="s">
        <v>3135</v>
      </c>
      <c r="G1110" s="38"/>
      <c r="H1110" s="38" t="s">
        <v>3220</v>
      </c>
      <c r="I1110" s="38" t="s">
        <v>2124</v>
      </c>
      <c r="J1110" s="38"/>
      <c r="K1110" s="38"/>
      <c r="L1110" s="38" t="s">
        <v>2165</v>
      </c>
      <c r="M1110" s="38">
        <v>3</v>
      </c>
      <c r="N1110" s="38"/>
      <c r="O1110" s="10"/>
      <c r="P1110" s="25" t="str">
        <f>HYPERLINK("http://biade.itrust.de/biade/lpext.dll?f=id&amp;id=biadb%3Ar%3A531772&amp;t=main-h.htm","531772")</f>
        <v>531772</v>
      </c>
    </row>
    <row r="1111" spans="1:16" ht="26.25" thickBot="1">
      <c r="A1111" s="6" t="s">
        <v>3136</v>
      </c>
      <c r="B1111" s="10" t="s">
        <v>1071</v>
      </c>
      <c r="C1111" s="11" t="s">
        <v>3137</v>
      </c>
      <c r="D1111" s="10" t="s">
        <v>3961</v>
      </c>
      <c r="E1111" s="38" t="s">
        <v>3138</v>
      </c>
      <c r="F1111" s="38" t="s">
        <v>3039</v>
      </c>
      <c r="G1111" s="38" t="s">
        <v>2184</v>
      </c>
      <c r="H1111" s="38" t="s">
        <v>2164</v>
      </c>
      <c r="I1111" s="38" t="s">
        <v>2124</v>
      </c>
      <c r="J1111" s="38"/>
      <c r="K1111" s="38"/>
      <c r="L1111" s="38" t="s">
        <v>2165</v>
      </c>
      <c r="M1111" s="38">
        <v>3</v>
      </c>
      <c r="N1111" s="38"/>
      <c r="O1111" s="10"/>
      <c r="P1111" s="25" t="str">
        <f>HYPERLINK("http://biade.itrust.de/biade/lpext.dll?f=id&amp;id=biadb%3Ar%3A022920&amp;t=main-h.htm","22920")</f>
        <v>22920</v>
      </c>
    </row>
    <row r="1112" spans="1:16" ht="15.75" thickBot="1">
      <c r="A1112" s="6" t="s">
        <v>3139</v>
      </c>
      <c r="B1112" s="10" t="s">
        <v>2121</v>
      </c>
      <c r="C1112" s="11" t="s">
        <v>3140</v>
      </c>
      <c r="D1112" s="10" t="s">
        <v>2134</v>
      </c>
      <c r="E1112" s="38" t="s">
        <v>360</v>
      </c>
      <c r="F1112" s="38" t="s">
        <v>3898</v>
      </c>
      <c r="G1112" s="38"/>
      <c r="H1112" s="38" t="s">
        <v>2129</v>
      </c>
      <c r="I1112" s="38" t="s">
        <v>2124</v>
      </c>
      <c r="J1112" s="38"/>
      <c r="K1112" s="38"/>
      <c r="L1112" s="38" t="s">
        <v>2130</v>
      </c>
      <c r="M1112" s="38">
        <v>1</v>
      </c>
      <c r="N1112" s="38"/>
      <c r="O1112" s="10"/>
      <c r="P1112" s="25" t="str">
        <f>HYPERLINK("http://biade.itrust.de/biade/lpext.dll?f=id&amp;id=biadb%3Ar%3A013000&amp;t=main-h.htm","13000")</f>
        <v>13000</v>
      </c>
    </row>
    <row r="1113" spans="1:16" ht="15.75" thickBot="1">
      <c r="A1113" s="6" t="s">
        <v>3141</v>
      </c>
      <c r="B1113" s="10" t="s">
        <v>2121</v>
      </c>
      <c r="C1113" s="11" t="s">
        <v>3142</v>
      </c>
      <c r="D1113" s="10" t="s">
        <v>2134</v>
      </c>
      <c r="E1113" s="38" t="s">
        <v>360</v>
      </c>
      <c r="F1113" s="38" t="s">
        <v>3898</v>
      </c>
      <c r="G1113" s="38"/>
      <c r="H1113" s="38" t="s">
        <v>2164</v>
      </c>
      <c r="I1113" s="38" t="s">
        <v>2124</v>
      </c>
      <c r="J1113" s="38"/>
      <c r="K1113" s="38"/>
      <c r="L1113" s="38" t="s">
        <v>2165</v>
      </c>
      <c r="M1113" s="38">
        <v>1</v>
      </c>
      <c r="N1113" s="38"/>
      <c r="O1113" s="10"/>
      <c r="P1113" s="25" t="str">
        <f>HYPERLINK("http://biade.itrust.de/biade/lpext.dll?f=id&amp;id=biadb%3Ar%3A013000&amp;t=main-h.htm","13000")</f>
        <v>13000</v>
      </c>
    </row>
    <row r="1114" spans="1:16" ht="22.5" customHeight="1">
      <c r="A1114" s="49" t="s">
        <v>3143</v>
      </c>
      <c r="B1114" s="49" t="s">
        <v>3144</v>
      </c>
      <c r="C1114" s="51" t="s">
        <v>3145</v>
      </c>
      <c r="D1114" s="49" t="s">
        <v>828</v>
      </c>
      <c r="E1114" s="47" t="s">
        <v>2066</v>
      </c>
      <c r="F1114" s="47" t="s">
        <v>3146</v>
      </c>
      <c r="G1114" s="47" t="s">
        <v>2183</v>
      </c>
      <c r="H1114" s="47" t="s">
        <v>1224</v>
      </c>
      <c r="I1114" s="39">
        <v>0.1</v>
      </c>
      <c r="J1114" s="47">
        <v>8</v>
      </c>
      <c r="K1114" s="47" t="s">
        <v>2157</v>
      </c>
      <c r="L1114" s="47" t="s">
        <v>2197</v>
      </c>
      <c r="M1114" s="47">
        <v>3</v>
      </c>
      <c r="N1114" s="47" t="s">
        <v>3147</v>
      </c>
      <c r="O1114" s="49"/>
      <c r="P1114" s="51"/>
    </row>
    <row r="1115" spans="1:16" ht="15.75" thickBot="1">
      <c r="A1115" s="50"/>
      <c r="B1115" s="50"/>
      <c r="C1115" s="52"/>
      <c r="D1115" s="50"/>
      <c r="E1115" s="48"/>
      <c r="F1115" s="48"/>
      <c r="G1115" s="48"/>
      <c r="H1115" s="48"/>
      <c r="I1115" s="38" t="s">
        <v>2124</v>
      </c>
      <c r="J1115" s="48"/>
      <c r="K1115" s="48"/>
      <c r="L1115" s="48"/>
      <c r="M1115" s="48"/>
      <c r="N1115" s="48"/>
      <c r="O1115" s="50"/>
      <c r="P1115" s="52"/>
    </row>
    <row r="1116" spans="1:16" ht="15.75" thickBot="1">
      <c r="A1116" s="6" t="s">
        <v>3148</v>
      </c>
      <c r="B1116" s="10"/>
      <c r="C1116" s="11" t="s">
        <v>3149</v>
      </c>
      <c r="D1116" s="10" t="s">
        <v>2128</v>
      </c>
      <c r="E1116" s="38" t="s">
        <v>3150</v>
      </c>
      <c r="F1116" s="38" t="s">
        <v>4102</v>
      </c>
      <c r="G1116" s="38" t="s">
        <v>2181</v>
      </c>
      <c r="H1116" s="38" t="s">
        <v>3220</v>
      </c>
      <c r="I1116" s="38" t="s">
        <v>2124</v>
      </c>
      <c r="J1116" s="38"/>
      <c r="K1116" s="38"/>
      <c r="L1116" s="38" t="s">
        <v>2136</v>
      </c>
      <c r="M1116" s="38">
        <v>1</v>
      </c>
      <c r="N1116" s="38"/>
      <c r="O1116" s="10"/>
      <c r="P1116" s="25" t="str">
        <f>HYPERLINK("http://biade.itrust.de/biade/lpext.dll?f=id&amp;id=biadb%3Ar%3A002030&amp;t=main-h.htm","2030")</f>
        <v>2030</v>
      </c>
    </row>
    <row r="1117" spans="1:16" ht="15.75" thickBot="1">
      <c r="A1117" s="6" t="s">
        <v>3151</v>
      </c>
      <c r="B1117" s="10" t="s">
        <v>2121</v>
      </c>
      <c r="C1117" s="11" t="s">
        <v>3152</v>
      </c>
      <c r="D1117" s="10" t="s">
        <v>2227</v>
      </c>
      <c r="E1117" s="38">
        <v>34</v>
      </c>
      <c r="F1117" s="38" t="s">
        <v>3884</v>
      </c>
      <c r="G1117" s="38"/>
      <c r="H1117" s="38" t="s">
        <v>2164</v>
      </c>
      <c r="I1117" s="38" t="s">
        <v>2124</v>
      </c>
      <c r="J1117" s="38"/>
      <c r="K1117" s="38"/>
      <c r="L1117" s="38" t="s">
        <v>2136</v>
      </c>
      <c r="M1117" s="38">
        <v>2</v>
      </c>
      <c r="N1117" s="38"/>
      <c r="O1117" s="10"/>
      <c r="P1117" s="11"/>
    </row>
    <row r="1118" spans="1:16" ht="15">
      <c r="A1118" s="49" t="s">
        <v>3153</v>
      </c>
      <c r="B1118" s="7" t="s">
        <v>3154</v>
      </c>
      <c r="C1118" s="51" t="s">
        <v>3156</v>
      </c>
      <c r="D1118" s="49" t="s">
        <v>2187</v>
      </c>
      <c r="E1118" s="47">
        <v>59</v>
      </c>
      <c r="F1118" s="47">
        <v>69</v>
      </c>
      <c r="G1118" s="47"/>
      <c r="H1118" s="47" t="s">
        <v>2123</v>
      </c>
      <c r="I1118" s="39">
        <v>3600</v>
      </c>
      <c r="J1118" s="47"/>
      <c r="K1118" s="47"/>
      <c r="L1118" s="47" t="s">
        <v>2202</v>
      </c>
      <c r="M1118" s="47">
        <v>1</v>
      </c>
      <c r="N1118" s="47"/>
      <c r="O1118" s="49"/>
      <c r="P1118" s="51"/>
    </row>
    <row r="1119" spans="1:16" ht="15.75" thickBot="1">
      <c r="A1119" s="50"/>
      <c r="B1119" s="10" t="s">
        <v>3155</v>
      </c>
      <c r="C1119" s="52"/>
      <c r="D1119" s="50"/>
      <c r="E1119" s="48"/>
      <c r="F1119" s="48"/>
      <c r="G1119" s="48"/>
      <c r="H1119" s="48"/>
      <c r="I1119" s="38" t="s">
        <v>2124</v>
      </c>
      <c r="J1119" s="48"/>
      <c r="K1119" s="48"/>
      <c r="L1119" s="48"/>
      <c r="M1119" s="48"/>
      <c r="N1119" s="48"/>
      <c r="O1119" s="50"/>
      <c r="P1119" s="52"/>
    </row>
    <row r="1120" spans="1:16" ht="15">
      <c r="A1120" s="5" t="s">
        <v>3157</v>
      </c>
      <c r="B1120" s="7" t="s">
        <v>3158</v>
      </c>
      <c r="C1120" s="51" t="s">
        <v>3159</v>
      </c>
      <c r="D1120" s="49" t="s">
        <v>2128</v>
      </c>
      <c r="E1120" s="47">
        <v>22</v>
      </c>
      <c r="F1120" s="47" t="s">
        <v>3160</v>
      </c>
      <c r="G1120" s="47"/>
      <c r="H1120" s="47" t="s">
        <v>2164</v>
      </c>
      <c r="I1120" s="47" t="s">
        <v>2124</v>
      </c>
      <c r="J1120" s="47"/>
      <c r="K1120" s="47"/>
      <c r="L1120" s="47" t="s">
        <v>2165</v>
      </c>
      <c r="M1120" s="47">
        <v>2</v>
      </c>
      <c r="N1120" s="47" t="s">
        <v>4001</v>
      </c>
      <c r="O1120" s="49"/>
      <c r="P1120" s="51"/>
    </row>
    <row r="1121" spans="1:16" ht="15.75" thickBot="1">
      <c r="A1121" s="6" t="s">
        <v>1623</v>
      </c>
      <c r="B1121" s="10" t="s">
        <v>5</v>
      </c>
      <c r="C1121" s="52"/>
      <c r="D1121" s="50"/>
      <c r="E1121" s="48"/>
      <c r="F1121" s="48"/>
      <c r="G1121" s="48"/>
      <c r="H1121" s="48"/>
      <c r="I1121" s="48"/>
      <c r="J1121" s="48"/>
      <c r="K1121" s="48"/>
      <c r="L1121" s="48"/>
      <c r="M1121" s="48"/>
      <c r="N1121" s="48"/>
      <c r="O1121" s="50"/>
      <c r="P1121" s="52"/>
    </row>
    <row r="1122" spans="1:16" ht="15">
      <c r="A1122" s="49" t="s">
        <v>3161</v>
      </c>
      <c r="B1122" s="7" t="s">
        <v>3162</v>
      </c>
      <c r="C1122" s="51" t="s">
        <v>3163</v>
      </c>
      <c r="D1122" s="49"/>
      <c r="E1122" s="47"/>
      <c r="F1122" s="47"/>
      <c r="G1122" s="47"/>
      <c r="H1122" s="47" t="s">
        <v>2123</v>
      </c>
      <c r="I1122" s="47" t="s">
        <v>2124</v>
      </c>
      <c r="J1122" s="47"/>
      <c r="K1122" s="47"/>
      <c r="L1122" s="47" t="s">
        <v>2165</v>
      </c>
      <c r="M1122" s="47">
        <v>2</v>
      </c>
      <c r="N1122" s="47"/>
      <c r="O1122" s="49"/>
      <c r="P1122" s="51"/>
    </row>
    <row r="1123" spans="1:16" ht="15.75" thickBot="1">
      <c r="A1123" s="50"/>
      <c r="B1123" s="10" t="s">
        <v>5</v>
      </c>
      <c r="C1123" s="52"/>
      <c r="D1123" s="50"/>
      <c r="E1123" s="48"/>
      <c r="F1123" s="48"/>
      <c r="G1123" s="48"/>
      <c r="H1123" s="48"/>
      <c r="I1123" s="48"/>
      <c r="J1123" s="48"/>
      <c r="K1123" s="48"/>
      <c r="L1123" s="48"/>
      <c r="M1123" s="48"/>
      <c r="N1123" s="48"/>
      <c r="O1123" s="50"/>
      <c r="P1123" s="52"/>
    </row>
    <row r="1124" spans="1:16" ht="15.75" thickBot="1">
      <c r="A1124" s="6" t="s">
        <v>3164</v>
      </c>
      <c r="B1124" s="10"/>
      <c r="C1124" s="11" t="s">
        <v>3165</v>
      </c>
      <c r="D1124" s="10" t="s">
        <v>3961</v>
      </c>
      <c r="E1124" s="38" t="s">
        <v>3166</v>
      </c>
      <c r="F1124" s="38" t="s">
        <v>3039</v>
      </c>
      <c r="G1124" s="38" t="s">
        <v>2181</v>
      </c>
      <c r="H1124" s="38" t="s">
        <v>3220</v>
      </c>
      <c r="I1124" s="38" t="s">
        <v>2124</v>
      </c>
      <c r="J1124" s="38"/>
      <c r="K1124" s="38"/>
      <c r="L1124" s="38" t="s">
        <v>2165</v>
      </c>
      <c r="M1124" s="38">
        <v>3</v>
      </c>
      <c r="N1124" s="38" t="s">
        <v>1980</v>
      </c>
      <c r="O1124" s="10"/>
      <c r="P1124" s="25" t="str">
        <f>HYPERLINK("http://biade.itrust.de/biade/lpext.dll?f=id&amp;id=biadb%3Ar%3A015510&amp;t=main-h.htm","15510")</f>
        <v>15510</v>
      </c>
    </row>
    <row r="1125" spans="1:16" ht="15.75" thickBot="1">
      <c r="A1125" s="6" t="s">
        <v>3167</v>
      </c>
      <c r="B1125" s="12" t="s">
        <v>3168</v>
      </c>
      <c r="C1125" s="11" t="s">
        <v>3169</v>
      </c>
      <c r="D1125" s="10" t="s">
        <v>2128</v>
      </c>
      <c r="E1125" s="38" t="s">
        <v>3170</v>
      </c>
      <c r="F1125" s="38" t="s">
        <v>3171</v>
      </c>
      <c r="G1125" s="38"/>
      <c r="H1125" s="38" t="s">
        <v>2164</v>
      </c>
      <c r="I1125" s="38" t="s">
        <v>2124</v>
      </c>
      <c r="J1125" s="38"/>
      <c r="K1125" s="38"/>
      <c r="L1125" s="38" t="s">
        <v>2165</v>
      </c>
      <c r="M1125" s="38">
        <v>1</v>
      </c>
      <c r="N1125" s="38" t="s">
        <v>2144</v>
      </c>
      <c r="O1125" s="10"/>
      <c r="P1125" s="25" t="str">
        <f>HYPERLINK("http://biade.itrust.de/biade/lpext.dll?f=id&amp;id=biadb%3Ar%3A016990&amp;t=main-h.htm","16990")</f>
        <v>16990</v>
      </c>
    </row>
    <row r="1126" spans="1:16" ht="15.75" thickBot="1">
      <c r="A1126" s="6" t="s">
        <v>3172</v>
      </c>
      <c r="B1126" s="12" t="s">
        <v>3173</v>
      </c>
      <c r="C1126" s="11" t="s">
        <v>3174</v>
      </c>
      <c r="D1126" s="10" t="s">
        <v>3961</v>
      </c>
      <c r="E1126" s="38" t="s">
        <v>3175</v>
      </c>
      <c r="F1126" s="38" t="s">
        <v>3528</v>
      </c>
      <c r="G1126" s="38"/>
      <c r="H1126" s="38" t="s">
        <v>2164</v>
      </c>
      <c r="I1126" s="38" t="s">
        <v>2124</v>
      </c>
      <c r="J1126" s="38"/>
      <c r="K1126" s="38"/>
      <c r="L1126" s="38" t="s">
        <v>2165</v>
      </c>
      <c r="M1126" s="38">
        <v>2</v>
      </c>
      <c r="N1126" s="38" t="s">
        <v>2144</v>
      </c>
      <c r="O1126" s="10"/>
      <c r="P1126" s="25" t="str">
        <f>HYPERLINK("http://biade.itrust.de/biade/lpext.dll?f=id&amp;id=biadb%3Ar%3A011530&amp;t=main-h.htm","11530")</f>
        <v>11530</v>
      </c>
    </row>
    <row r="1127" spans="1:16" ht="25.5" customHeight="1">
      <c r="A1127" s="49" t="s">
        <v>3176</v>
      </c>
      <c r="B1127" s="7" t="s">
        <v>1070</v>
      </c>
      <c r="C1127" s="51" t="s">
        <v>3177</v>
      </c>
      <c r="D1127" s="49"/>
      <c r="E1127" s="47"/>
      <c r="F1127" s="47"/>
      <c r="G1127" s="47"/>
      <c r="H1127" s="47" t="s">
        <v>2123</v>
      </c>
      <c r="I1127" s="47" t="s">
        <v>2124</v>
      </c>
      <c r="J1127" s="47"/>
      <c r="K1127" s="47"/>
      <c r="L1127" s="47" t="s">
        <v>2165</v>
      </c>
      <c r="M1127" s="47">
        <v>3</v>
      </c>
      <c r="N1127" s="47"/>
      <c r="O1127" s="49"/>
      <c r="P1127" s="51"/>
    </row>
    <row r="1128" spans="1:16" ht="15.75" thickBot="1">
      <c r="A1128" s="50"/>
      <c r="B1128" s="10" t="s">
        <v>1262</v>
      </c>
      <c r="C1128" s="52"/>
      <c r="D1128" s="50"/>
      <c r="E1128" s="48"/>
      <c r="F1128" s="48"/>
      <c r="G1128" s="48"/>
      <c r="H1128" s="48"/>
      <c r="I1128" s="48"/>
      <c r="J1128" s="48"/>
      <c r="K1128" s="48"/>
      <c r="L1128" s="48"/>
      <c r="M1128" s="48"/>
      <c r="N1128" s="48"/>
      <c r="O1128" s="50"/>
      <c r="P1128" s="52"/>
    </row>
    <row r="1129" spans="1:16" ht="15">
      <c r="A1129" s="49" t="s">
        <v>3178</v>
      </c>
      <c r="B1129" s="58" t="s">
        <v>1069</v>
      </c>
      <c r="C1129" s="51" t="s">
        <v>3179</v>
      </c>
      <c r="D1129" s="49" t="s">
        <v>3961</v>
      </c>
      <c r="E1129" s="47" t="s">
        <v>3034</v>
      </c>
      <c r="F1129" s="47" t="s">
        <v>3013</v>
      </c>
      <c r="G1129" s="47" t="s">
        <v>2183</v>
      </c>
      <c r="H1129" s="47" t="s">
        <v>2164</v>
      </c>
      <c r="I1129" s="39" t="s">
        <v>3991</v>
      </c>
      <c r="J1129" s="47">
        <v>4</v>
      </c>
      <c r="K1129" s="47"/>
      <c r="L1129" s="47" t="s">
        <v>2165</v>
      </c>
      <c r="M1129" s="47">
        <v>2</v>
      </c>
      <c r="N1129" s="47" t="s">
        <v>2144</v>
      </c>
      <c r="O1129" s="49"/>
      <c r="P1129" s="51"/>
    </row>
    <row r="1130" spans="1:16" ht="15.75" thickBot="1">
      <c r="A1130" s="50"/>
      <c r="B1130" s="59"/>
      <c r="C1130" s="52"/>
      <c r="D1130" s="50"/>
      <c r="E1130" s="48"/>
      <c r="F1130" s="48"/>
      <c r="G1130" s="48"/>
      <c r="H1130" s="48"/>
      <c r="I1130" s="38">
        <v>0.17</v>
      </c>
      <c r="J1130" s="48"/>
      <c r="K1130" s="48"/>
      <c r="L1130" s="48"/>
      <c r="M1130" s="48"/>
      <c r="N1130" s="48"/>
      <c r="O1130" s="50"/>
      <c r="P1130" s="52"/>
    </row>
    <row r="1131" spans="1:16" ht="15.75" thickBot="1">
      <c r="A1131" s="6" t="s">
        <v>3180</v>
      </c>
      <c r="B1131" s="12" t="s">
        <v>1068</v>
      </c>
      <c r="C1131" s="11" t="s">
        <v>3181</v>
      </c>
      <c r="D1131" s="10" t="s">
        <v>2152</v>
      </c>
      <c r="E1131" s="38" t="s">
        <v>3182</v>
      </c>
      <c r="F1131" s="38" t="s">
        <v>2615</v>
      </c>
      <c r="G1131" s="38" t="s">
        <v>3183</v>
      </c>
      <c r="H1131" s="38" t="s">
        <v>1232</v>
      </c>
      <c r="I1131" s="38" t="s">
        <v>2124</v>
      </c>
      <c r="J1131" s="38"/>
      <c r="K1131" s="38" t="s">
        <v>2187</v>
      </c>
      <c r="L1131" s="38" t="s">
        <v>2165</v>
      </c>
      <c r="M1131" s="38">
        <v>3</v>
      </c>
      <c r="N1131" s="38" t="s">
        <v>3184</v>
      </c>
      <c r="O1131" s="10"/>
      <c r="P1131" s="25" t="str">
        <f>HYPERLINK("http://biade.itrust.de/biade/lpext.dll?f=id&amp;id=biadb%3Ar%3A070460&amp;t=main-h.htm","70460")</f>
        <v>70460</v>
      </c>
    </row>
    <row r="1132" spans="1:16" ht="15.75" thickBot="1">
      <c r="A1132" s="6" t="s">
        <v>977</v>
      </c>
      <c r="B1132" s="10" t="s">
        <v>1067</v>
      </c>
      <c r="C1132" s="11" t="s">
        <v>3185</v>
      </c>
      <c r="D1132" s="10" t="s">
        <v>2128</v>
      </c>
      <c r="E1132" s="38" t="s">
        <v>3186</v>
      </c>
      <c r="F1132" s="38" t="s">
        <v>3187</v>
      </c>
      <c r="G1132" s="38"/>
      <c r="H1132" s="38" t="s">
        <v>2164</v>
      </c>
      <c r="I1132" s="38" t="s">
        <v>2124</v>
      </c>
      <c r="J1132" s="38"/>
      <c r="K1132" s="38"/>
      <c r="L1132" s="38" t="s">
        <v>2165</v>
      </c>
      <c r="M1132" s="38">
        <v>2</v>
      </c>
      <c r="N1132" s="38"/>
      <c r="O1132" s="10"/>
      <c r="P1132" s="25" t="str">
        <f>HYPERLINK("http://biade.itrust.de/biade/lpext.dll?f=id&amp;id=biadb%3Ar%3A510306&amp;t=main-h.htm","510306")</f>
        <v>510306</v>
      </c>
    </row>
    <row r="1133" spans="1:16" ht="15.75" thickBot="1">
      <c r="A1133" s="6" t="s">
        <v>3188</v>
      </c>
      <c r="B1133" s="10" t="s">
        <v>216</v>
      </c>
      <c r="C1133" s="11" t="s">
        <v>3189</v>
      </c>
      <c r="D1133" s="10" t="s">
        <v>3795</v>
      </c>
      <c r="E1133" s="38" t="s">
        <v>218</v>
      </c>
      <c r="F1133" s="38" t="s">
        <v>219</v>
      </c>
      <c r="G1133" s="38"/>
      <c r="H1133" s="38" t="s">
        <v>2186</v>
      </c>
      <c r="I1133" s="38" t="s">
        <v>2124</v>
      </c>
      <c r="J1133" s="38"/>
      <c r="K1133" s="38" t="s">
        <v>2157</v>
      </c>
      <c r="L1133" s="38" t="s">
        <v>2207</v>
      </c>
      <c r="M1133" s="38">
        <v>1</v>
      </c>
      <c r="N1133" s="38"/>
      <c r="O1133" s="10"/>
      <c r="P1133" s="25" t="str">
        <f>HYPERLINK("http://biade.itrust.de/biade/lpext.dll?f=id&amp;id=biadb%3Ar%3A008080&amp;t=main-h.htm","8080")</f>
        <v>8080</v>
      </c>
    </row>
    <row r="1134" spans="1:16" ht="15">
      <c r="A1134" s="5" t="s">
        <v>3190</v>
      </c>
      <c r="B1134" s="49" t="s">
        <v>2121</v>
      </c>
      <c r="C1134" s="51" t="s">
        <v>3191</v>
      </c>
      <c r="D1134" s="49"/>
      <c r="E1134" s="47"/>
      <c r="F1134" s="47"/>
      <c r="G1134" s="47"/>
      <c r="H1134" s="47" t="s">
        <v>2123</v>
      </c>
      <c r="I1134" s="47" t="s">
        <v>2124</v>
      </c>
      <c r="J1134" s="47"/>
      <c r="K1134" s="47"/>
      <c r="L1134" s="47" t="s">
        <v>2125</v>
      </c>
      <c r="M1134" s="47">
        <v>1</v>
      </c>
      <c r="N1134" s="47"/>
      <c r="O1134" s="49"/>
      <c r="P1134" s="51"/>
    </row>
    <row r="1135" spans="1:16" ht="15.75" thickBot="1">
      <c r="A1135" s="6" t="s">
        <v>2764</v>
      </c>
      <c r="B1135" s="50"/>
      <c r="C1135" s="52"/>
      <c r="D1135" s="50"/>
      <c r="E1135" s="48"/>
      <c r="F1135" s="48"/>
      <c r="G1135" s="48"/>
      <c r="H1135" s="48"/>
      <c r="I1135" s="48"/>
      <c r="J1135" s="48"/>
      <c r="K1135" s="48"/>
      <c r="L1135" s="48"/>
      <c r="M1135" s="48"/>
      <c r="N1135" s="48"/>
      <c r="O1135" s="50"/>
      <c r="P1135" s="52"/>
    </row>
    <row r="1136" spans="1:16" ht="15">
      <c r="A1136" s="5" t="s">
        <v>3190</v>
      </c>
      <c r="B1136" s="49" t="s">
        <v>2121</v>
      </c>
      <c r="C1136" s="51" t="s">
        <v>3192</v>
      </c>
      <c r="D1136" s="49"/>
      <c r="E1136" s="47"/>
      <c r="F1136" s="47"/>
      <c r="G1136" s="47"/>
      <c r="H1136" s="47" t="s">
        <v>2123</v>
      </c>
      <c r="I1136" s="47" t="s">
        <v>2124</v>
      </c>
      <c r="J1136" s="47"/>
      <c r="K1136" s="47"/>
      <c r="L1136" s="47" t="s">
        <v>2125</v>
      </c>
      <c r="M1136" s="47">
        <v>1</v>
      </c>
      <c r="N1136" s="47"/>
      <c r="O1136" s="49"/>
      <c r="P1136" s="51"/>
    </row>
    <row r="1137" spans="1:16" ht="15.75" thickBot="1">
      <c r="A1137" s="6" t="s">
        <v>2160</v>
      </c>
      <c r="B1137" s="50"/>
      <c r="C1137" s="52"/>
      <c r="D1137" s="50"/>
      <c r="E1137" s="48"/>
      <c r="F1137" s="48"/>
      <c r="G1137" s="48"/>
      <c r="H1137" s="48"/>
      <c r="I1137" s="48"/>
      <c r="J1137" s="48"/>
      <c r="K1137" s="48"/>
      <c r="L1137" s="48"/>
      <c r="M1137" s="48"/>
      <c r="N1137" s="48"/>
      <c r="O1137" s="50"/>
      <c r="P1137" s="52"/>
    </row>
    <row r="1138" spans="1:16" ht="35.25" customHeight="1">
      <c r="A1138" s="49" t="s">
        <v>3193</v>
      </c>
      <c r="B1138" s="7" t="s">
        <v>3194</v>
      </c>
      <c r="C1138" s="51" t="s">
        <v>3195</v>
      </c>
      <c r="D1138" s="49"/>
      <c r="E1138" s="47"/>
      <c r="F1138" s="47"/>
      <c r="G1138" s="47"/>
      <c r="H1138" s="47" t="s">
        <v>2123</v>
      </c>
      <c r="I1138" s="47" t="s">
        <v>2124</v>
      </c>
      <c r="J1138" s="47"/>
      <c r="K1138" s="47"/>
      <c r="L1138" s="47" t="s">
        <v>2125</v>
      </c>
      <c r="M1138" s="47">
        <v>1</v>
      </c>
      <c r="N1138" s="47"/>
      <c r="O1138" s="49"/>
      <c r="P1138" s="51"/>
    </row>
    <row r="1139" spans="1:16" ht="15.75" thickBot="1">
      <c r="A1139" s="50"/>
      <c r="B1139" s="10" t="s">
        <v>1262</v>
      </c>
      <c r="C1139" s="52"/>
      <c r="D1139" s="50"/>
      <c r="E1139" s="48"/>
      <c r="F1139" s="48"/>
      <c r="G1139" s="48"/>
      <c r="H1139" s="48"/>
      <c r="I1139" s="48"/>
      <c r="J1139" s="48"/>
      <c r="K1139" s="48"/>
      <c r="L1139" s="48"/>
      <c r="M1139" s="48"/>
      <c r="N1139" s="48"/>
      <c r="O1139" s="50"/>
      <c r="P1139" s="52"/>
    </row>
    <row r="1140" spans="1:16" ht="15">
      <c r="A1140" s="49" t="s">
        <v>3196</v>
      </c>
      <c r="B1140" s="49"/>
      <c r="C1140" s="51" t="s">
        <v>3197</v>
      </c>
      <c r="D1140" s="49" t="s">
        <v>828</v>
      </c>
      <c r="E1140" s="47" t="s">
        <v>3198</v>
      </c>
      <c r="F1140" s="47" t="s">
        <v>3199</v>
      </c>
      <c r="G1140" s="47"/>
      <c r="H1140" s="47" t="s">
        <v>1224</v>
      </c>
      <c r="I1140" s="39">
        <v>0.2</v>
      </c>
      <c r="J1140" s="47">
        <v>2</v>
      </c>
      <c r="K1140" s="47" t="s">
        <v>2157</v>
      </c>
      <c r="L1140" s="47" t="s">
        <v>2136</v>
      </c>
      <c r="M1140" s="47">
        <v>2</v>
      </c>
      <c r="N1140" s="47"/>
      <c r="O1140" s="49"/>
      <c r="P1140" s="51"/>
    </row>
    <row r="1141" spans="1:16" ht="15.75" thickBot="1">
      <c r="A1141" s="50"/>
      <c r="B1141" s="50"/>
      <c r="C1141" s="52"/>
      <c r="D1141" s="50"/>
      <c r="E1141" s="48"/>
      <c r="F1141" s="48"/>
      <c r="G1141" s="48"/>
      <c r="H1141" s="48"/>
      <c r="I1141" s="38" t="s">
        <v>2124</v>
      </c>
      <c r="J1141" s="48"/>
      <c r="K1141" s="48"/>
      <c r="L1141" s="48"/>
      <c r="M1141" s="48"/>
      <c r="N1141" s="48"/>
      <c r="O1141" s="50"/>
      <c r="P1141" s="52"/>
    </row>
    <row r="1142" spans="1:16" ht="15.75" thickBot="1">
      <c r="A1142" s="6" t="s">
        <v>3200</v>
      </c>
      <c r="B1142" s="10" t="s">
        <v>2121</v>
      </c>
      <c r="C1142" s="11" t="s">
        <v>3201</v>
      </c>
      <c r="D1142" s="10"/>
      <c r="E1142" s="38"/>
      <c r="F1142" s="38"/>
      <c r="G1142" s="38"/>
      <c r="H1142" s="38" t="s">
        <v>2123</v>
      </c>
      <c r="I1142" s="38" t="s">
        <v>2124</v>
      </c>
      <c r="J1142" s="38"/>
      <c r="K1142" s="38"/>
      <c r="L1142" s="38" t="s">
        <v>2130</v>
      </c>
      <c r="M1142" s="38">
        <v>1</v>
      </c>
      <c r="N1142" s="38"/>
      <c r="O1142" s="10"/>
      <c r="P1142" s="25" t="str">
        <f>HYPERLINK("http://biade.itrust.de/biade/lpext.dll?f=id&amp;id=biadb%3Ar%3A024590&amp;t=main-h.htm","24590")</f>
        <v>24590</v>
      </c>
    </row>
    <row r="1143" spans="1:16" ht="15.75" thickBot="1">
      <c r="A1143" s="6" t="s">
        <v>3202</v>
      </c>
      <c r="B1143" s="10" t="s">
        <v>2121</v>
      </c>
      <c r="C1143" s="11" t="s">
        <v>3203</v>
      </c>
      <c r="D1143" s="10" t="s">
        <v>2141</v>
      </c>
      <c r="E1143" s="38" t="s">
        <v>3204</v>
      </c>
      <c r="F1143" s="38" t="s">
        <v>2908</v>
      </c>
      <c r="G1143" s="38"/>
      <c r="H1143" s="38" t="s">
        <v>2164</v>
      </c>
      <c r="I1143" s="38" t="s">
        <v>2124</v>
      </c>
      <c r="J1143" s="38"/>
      <c r="K1143" s="38"/>
      <c r="L1143" s="38" t="s">
        <v>2136</v>
      </c>
      <c r="M1143" s="38">
        <v>1</v>
      </c>
      <c r="N1143" s="38" t="s">
        <v>4001</v>
      </c>
      <c r="O1143" s="10"/>
      <c r="P1143" s="25" t="str">
        <f>HYPERLINK("http://biade.itrust.de/biade/lpext.dll?f=id&amp;id=biadb%3Ar%3A530542&amp;t=main-h.htm","530542")</f>
        <v>530542</v>
      </c>
    </row>
    <row r="1144" spans="1:16" ht="15.75" thickBot="1">
      <c r="A1144" s="6" t="s">
        <v>3205</v>
      </c>
      <c r="B1144" s="10" t="s">
        <v>2121</v>
      </c>
      <c r="C1144" s="11" t="s">
        <v>3206</v>
      </c>
      <c r="D1144" s="10"/>
      <c r="E1144" s="38"/>
      <c r="F1144" s="38"/>
      <c r="G1144" s="38"/>
      <c r="H1144" s="38" t="s">
        <v>2123</v>
      </c>
      <c r="I1144" s="38" t="s">
        <v>2124</v>
      </c>
      <c r="J1144" s="38"/>
      <c r="K1144" s="38"/>
      <c r="L1144" s="38" t="s">
        <v>2125</v>
      </c>
      <c r="M1144" s="38">
        <v>1</v>
      </c>
      <c r="N1144" s="38"/>
      <c r="O1144" s="10"/>
      <c r="P1144" s="25" t="str">
        <f>HYPERLINK("http://biade.itrust.de/biade/lpext.dll?f=id&amp;id=biadb%3Ar%3A002900&amp;t=main-h.htm","2900")</f>
        <v>2900</v>
      </c>
    </row>
    <row r="1145" spans="1:16" ht="15">
      <c r="A1145" s="5" t="s">
        <v>3207</v>
      </c>
      <c r="B1145" s="49"/>
      <c r="C1145" s="51" t="s">
        <v>3208</v>
      </c>
      <c r="D1145" s="49" t="s">
        <v>2134</v>
      </c>
      <c r="E1145" s="47">
        <v>36</v>
      </c>
      <c r="F1145" s="47" t="s">
        <v>2908</v>
      </c>
      <c r="G1145" s="47"/>
      <c r="H1145" s="47" t="s">
        <v>2164</v>
      </c>
      <c r="I1145" s="47" t="s">
        <v>2124</v>
      </c>
      <c r="J1145" s="47"/>
      <c r="K1145" s="47"/>
      <c r="L1145" s="47" t="s">
        <v>2136</v>
      </c>
      <c r="M1145" s="47">
        <v>1</v>
      </c>
      <c r="N1145" s="47" t="s">
        <v>1252</v>
      </c>
      <c r="O1145" s="49"/>
      <c r="P1145" s="51"/>
    </row>
    <row r="1146" spans="1:16" ht="15.75" thickBot="1">
      <c r="A1146" s="6" t="s">
        <v>2160</v>
      </c>
      <c r="B1146" s="50"/>
      <c r="C1146" s="52"/>
      <c r="D1146" s="50"/>
      <c r="E1146" s="48"/>
      <c r="F1146" s="48"/>
      <c r="G1146" s="48"/>
      <c r="H1146" s="48"/>
      <c r="I1146" s="48"/>
      <c r="J1146" s="48"/>
      <c r="K1146" s="48"/>
      <c r="L1146" s="48"/>
      <c r="M1146" s="48"/>
      <c r="N1146" s="48"/>
      <c r="O1146" s="50"/>
      <c r="P1146" s="52"/>
    </row>
    <row r="1147" spans="1:16" ht="15">
      <c r="A1147" s="49" t="s">
        <v>3209</v>
      </c>
      <c r="B1147" s="49"/>
      <c r="C1147" s="51" t="s">
        <v>3210</v>
      </c>
      <c r="D1147" s="49" t="s">
        <v>244</v>
      </c>
      <c r="E1147" s="47" t="s">
        <v>3211</v>
      </c>
      <c r="F1147" s="47" t="s">
        <v>3212</v>
      </c>
      <c r="G1147" s="47"/>
      <c r="H1147" s="47" t="s">
        <v>2186</v>
      </c>
      <c r="I1147" s="47" t="s">
        <v>2124</v>
      </c>
      <c r="J1147" s="47"/>
      <c r="K1147" s="47"/>
      <c r="L1147" s="47" t="s">
        <v>2216</v>
      </c>
      <c r="M1147" s="47">
        <v>2</v>
      </c>
      <c r="N1147" s="47" t="s">
        <v>2144</v>
      </c>
      <c r="O1147" s="49"/>
      <c r="P1147" s="51"/>
    </row>
    <row r="1148" spans="1:16" ht="15.75" thickBot="1">
      <c r="A1148" s="50"/>
      <c r="B1148" s="50"/>
      <c r="C1148" s="52"/>
      <c r="D1148" s="50"/>
      <c r="E1148" s="48"/>
      <c r="F1148" s="48"/>
      <c r="G1148" s="48"/>
      <c r="H1148" s="48"/>
      <c r="I1148" s="48"/>
      <c r="J1148" s="48"/>
      <c r="K1148" s="48"/>
      <c r="L1148" s="48"/>
      <c r="M1148" s="48"/>
      <c r="N1148" s="48"/>
      <c r="O1148" s="50"/>
      <c r="P1148" s="52"/>
    </row>
    <row r="1149" spans="1:16" ht="15.75" thickBot="1">
      <c r="A1149" s="6" t="s">
        <v>3213</v>
      </c>
      <c r="B1149" s="10" t="s">
        <v>2121</v>
      </c>
      <c r="C1149" s="11" t="s">
        <v>3214</v>
      </c>
      <c r="D1149" s="10"/>
      <c r="E1149" s="38"/>
      <c r="F1149" s="38"/>
      <c r="G1149" s="38"/>
      <c r="H1149" s="38" t="s">
        <v>2123</v>
      </c>
      <c r="I1149" s="38" t="s">
        <v>2124</v>
      </c>
      <c r="J1149" s="38"/>
      <c r="K1149" s="38"/>
      <c r="L1149" s="38" t="s">
        <v>2125</v>
      </c>
      <c r="M1149" s="38">
        <v>1</v>
      </c>
      <c r="N1149" s="38"/>
      <c r="O1149" s="10"/>
      <c r="P1149" s="25" t="str">
        <f>HYPERLINK("http://biade.itrust.de/biade/lpext.dll?f=id&amp;id=biadb%3Ar%3A001330&amp;t=main-h.htm","1330")</f>
        <v>1330</v>
      </c>
    </row>
    <row r="1150" spans="1:16" ht="32.25" thickBot="1">
      <c r="A1150" s="6" t="s">
        <v>3215</v>
      </c>
      <c r="B1150" s="10"/>
      <c r="C1150" s="11" t="s">
        <v>4172</v>
      </c>
      <c r="D1150" s="10" t="s">
        <v>828</v>
      </c>
      <c r="E1150" s="38" t="s">
        <v>4173</v>
      </c>
      <c r="F1150" s="38" t="s">
        <v>4174</v>
      </c>
      <c r="G1150" s="38" t="s">
        <v>4175</v>
      </c>
      <c r="H1150" s="38" t="s">
        <v>105</v>
      </c>
      <c r="I1150" s="38" t="s">
        <v>2124</v>
      </c>
      <c r="J1150" s="38"/>
      <c r="K1150" s="38" t="s">
        <v>2157</v>
      </c>
      <c r="L1150" s="38" t="s">
        <v>2158</v>
      </c>
      <c r="M1150" s="38">
        <v>3</v>
      </c>
      <c r="N1150" s="38"/>
      <c r="O1150" s="10"/>
      <c r="P1150" s="25" t="str">
        <f>HYPERLINK("http://biade.itrust.de/biade/lpext.dll?f=id&amp;id=biadb%3Ar%3A004030&amp;t=main-h.htm","4030")</f>
        <v>4030</v>
      </c>
    </row>
    <row r="1151" spans="1:16" ht="15.75" thickBot="1">
      <c r="A1151" s="6" t="s">
        <v>4176</v>
      </c>
      <c r="B1151" s="10" t="s">
        <v>1907</v>
      </c>
      <c r="C1151" s="11" t="s">
        <v>4177</v>
      </c>
      <c r="D1151" s="10"/>
      <c r="E1151" s="38"/>
      <c r="F1151" s="38"/>
      <c r="G1151" s="38"/>
      <c r="H1151" s="38" t="s">
        <v>2123</v>
      </c>
      <c r="I1151" s="38" t="s">
        <v>2124</v>
      </c>
      <c r="J1151" s="38"/>
      <c r="K1151" s="38"/>
      <c r="L1151" s="38" t="s">
        <v>2125</v>
      </c>
      <c r="M1151" s="38">
        <v>1</v>
      </c>
      <c r="N1151" s="38"/>
      <c r="O1151" s="10"/>
      <c r="P1151" s="25" t="str">
        <f>HYPERLINK("http://biade.itrust.de/biade/lpext.dll?f=id&amp;id=biadb%3Ar%3A491203&amp;t=main-h.htm","491203")</f>
        <v>491203</v>
      </c>
    </row>
    <row r="1152" spans="1:16" ht="15.75" thickBot="1">
      <c r="A1152" s="6" t="s">
        <v>4178</v>
      </c>
      <c r="B1152" s="10"/>
      <c r="C1152" s="11" t="s">
        <v>4179</v>
      </c>
      <c r="D1152" s="10" t="s">
        <v>2128</v>
      </c>
      <c r="E1152" s="38" t="s">
        <v>1214</v>
      </c>
      <c r="F1152" s="38" t="s">
        <v>3528</v>
      </c>
      <c r="G1152" s="38"/>
      <c r="H1152" s="38" t="s">
        <v>2164</v>
      </c>
      <c r="I1152" s="38" t="s">
        <v>2124</v>
      </c>
      <c r="J1152" s="38"/>
      <c r="K1152" s="38"/>
      <c r="L1152" s="38" t="s">
        <v>2136</v>
      </c>
      <c r="M1152" s="38">
        <v>1</v>
      </c>
      <c r="N1152" s="38" t="s">
        <v>4001</v>
      </c>
      <c r="O1152" s="10"/>
      <c r="P1152" s="25" t="str">
        <f>HYPERLINK("http://biade.itrust.de/biade/lpext.dll?f=id&amp;id=biadb%3Ar%3A003490&amp;t=main-h.htm","3490")</f>
        <v>3490</v>
      </c>
    </row>
    <row r="1153" spans="1:16" ht="15.75" thickBot="1">
      <c r="A1153" s="6" t="s">
        <v>4180</v>
      </c>
      <c r="B1153" s="10" t="s">
        <v>2121</v>
      </c>
      <c r="C1153" s="11" t="s">
        <v>4181</v>
      </c>
      <c r="D1153" s="10" t="s">
        <v>4182</v>
      </c>
      <c r="E1153" s="38" t="s">
        <v>264</v>
      </c>
      <c r="F1153" s="38" t="s">
        <v>2585</v>
      </c>
      <c r="G1153" s="38" t="s">
        <v>4183</v>
      </c>
      <c r="H1153" s="38" t="s">
        <v>1224</v>
      </c>
      <c r="I1153" s="38" t="s">
        <v>2124</v>
      </c>
      <c r="J1153" s="38"/>
      <c r="K1153" s="38" t="s">
        <v>2157</v>
      </c>
      <c r="L1153" s="38" t="s">
        <v>2208</v>
      </c>
      <c r="M1153" s="38">
        <v>3</v>
      </c>
      <c r="N1153" s="38" t="s">
        <v>2070</v>
      </c>
      <c r="O1153" s="10"/>
      <c r="P1153" s="25" t="str">
        <f>HYPERLINK("http://biade.itrust.de/biade/lpext.dll?f=id&amp;id=biadb%3Ar%3A002420&amp;t=main-h.htm","2420")</f>
        <v>2420</v>
      </c>
    </row>
    <row r="1154" spans="1:16" ht="32.25" thickBot="1">
      <c r="A1154" s="6" t="s">
        <v>3222</v>
      </c>
      <c r="B1154" s="10"/>
      <c r="C1154" s="11" t="s">
        <v>3223</v>
      </c>
      <c r="D1154" s="10" t="s">
        <v>3224</v>
      </c>
      <c r="E1154" s="38" t="s">
        <v>267</v>
      </c>
      <c r="F1154" s="38" t="s">
        <v>2154</v>
      </c>
      <c r="G1154" s="38" t="s">
        <v>4175</v>
      </c>
      <c r="H1154" s="38" t="s">
        <v>767</v>
      </c>
      <c r="I1154" s="38" t="s">
        <v>2124</v>
      </c>
      <c r="J1154" s="38"/>
      <c r="K1154" s="38" t="s">
        <v>2157</v>
      </c>
      <c r="L1154" s="38" t="s">
        <v>2158</v>
      </c>
      <c r="M1154" s="38" t="s">
        <v>2849</v>
      </c>
      <c r="N1154" s="38"/>
      <c r="O1154" s="10"/>
      <c r="P1154" s="25" t="str">
        <f>HYPERLINK("http://biade.itrust.de/biade/lpext.dll?f=id&amp;id=biadb%3Ar%3A002490&amp;t=main-h.htm","2490")</f>
        <v>2490</v>
      </c>
    </row>
    <row r="1155" spans="1:16" ht="26.25" thickBot="1">
      <c r="A1155" s="6" t="s">
        <v>991</v>
      </c>
      <c r="B1155" s="10" t="s">
        <v>2121</v>
      </c>
      <c r="C1155" s="11" t="s">
        <v>3225</v>
      </c>
      <c r="D1155" s="10" t="s">
        <v>3961</v>
      </c>
      <c r="E1155" s="38" t="s">
        <v>422</v>
      </c>
      <c r="F1155" s="38">
        <v>61</v>
      </c>
      <c r="G1155" s="38"/>
      <c r="H1155" s="38" t="s">
        <v>2164</v>
      </c>
      <c r="I1155" s="38" t="s">
        <v>2124</v>
      </c>
      <c r="J1155" s="38"/>
      <c r="K1155" s="38"/>
      <c r="L1155" s="38" t="s">
        <v>2165</v>
      </c>
      <c r="M1155" s="38">
        <v>2</v>
      </c>
      <c r="N1155" s="38" t="s">
        <v>2144</v>
      </c>
      <c r="O1155" s="10"/>
      <c r="P1155" s="11"/>
    </row>
    <row r="1156" spans="1:16" ht="22.5" customHeight="1">
      <c r="A1156" s="53" t="s">
        <v>978</v>
      </c>
      <c r="B1156" s="7" t="s">
        <v>3226</v>
      </c>
      <c r="C1156" s="51" t="s">
        <v>3227</v>
      </c>
      <c r="D1156" s="49"/>
      <c r="E1156" s="47"/>
      <c r="F1156" s="47"/>
      <c r="G1156" s="47"/>
      <c r="H1156" s="47" t="s">
        <v>2123</v>
      </c>
      <c r="I1156" s="47" t="s">
        <v>2124</v>
      </c>
      <c r="J1156" s="47"/>
      <c r="K1156" s="47"/>
      <c r="L1156" s="47" t="s">
        <v>2125</v>
      </c>
      <c r="M1156" s="47">
        <v>2</v>
      </c>
      <c r="N1156" s="47"/>
      <c r="O1156" s="49"/>
      <c r="P1156" s="51"/>
    </row>
    <row r="1157" spans="1:16" ht="15.75" thickBot="1">
      <c r="A1157" s="54"/>
      <c r="B1157" s="10" t="s">
        <v>2121</v>
      </c>
      <c r="C1157" s="52"/>
      <c r="D1157" s="50"/>
      <c r="E1157" s="48"/>
      <c r="F1157" s="48"/>
      <c r="G1157" s="48"/>
      <c r="H1157" s="48"/>
      <c r="I1157" s="48"/>
      <c r="J1157" s="48"/>
      <c r="K1157" s="48"/>
      <c r="L1157" s="48"/>
      <c r="M1157" s="48"/>
      <c r="N1157" s="48"/>
      <c r="O1157" s="50"/>
      <c r="P1157" s="52"/>
    </row>
    <row r="1158" spans="1:16" ht="15.75" thickBot="1">
      <c r="A1158" s="6" t="s">
        <v>3228</v>
      </c>
      <c r="B1158" s="10" t="s">
        <v>3229</v>
      </c>
      <c r="C1158" s="11" t="s">
        <v>3230</v>
      </c>
      <c r="D1158" s="10" t="s">
        <v>3231</v>
      </c>
      <c r="E1158" s="38" t="s">
        <v>3232</v>
      </c>
      <c r="F1158" s="38" t="s">
        <v>3233</v>
      </c>
      <c r="G1158" s="38"/>
      <c r="H1158" s="38" t="s">
        <v>2164</v>
      </c>
      <c r="I1158" s="38" t="s">
        <v>2124</v>
      </c>
      <c r="J1158" s="38"/>
      <c r="K1158" s="38"/>
      <c r="L1158" s="38" t="s">
        <v>2136</v>
      </c>
      <c r="M1158" s="38">
        <v>1</v>
      </c>
      <c r="N1158" s="38"/>
      <c r="O1158" s="10"/>
      <c r="P1158" s="25" t="str">
        <f>HYPERLINK("http://biade.itrust.de/biade/lpext.dll?f=id&amp;id=biadb%3Ar%3A001680&amp;t=main-h.htm","1680")</f>
        <v>1680</v>
      </c>
    </row>
    <row r="1159" spans="1:16" ht="15.75" thickBot="1">
      <c r="A1159" s="6" t="s">
        <v>3234</v>
      </c>
      <c r="B1159" s="10"/>
      <c r="C1159" s="11" t="s">
        <v>3235</v>
      </c>
      <c r="D1159" s="10" t="s">
        <v>2128</v>
      </c>
      <c r="E1159" s="38" t="s">
        <v>3236</v>
      </c>
      <c r="F1159" s="38" t="s">
        <v>3237</v>
      </c>
      <c r="G1159" s="38"/>
      <c r="H1159" s="38" t="s">
        <v>2164</v>
      </c>
      <c r="I1159" s="38" t="s">
        <v>2124</v>
      </c>
      <c r="J1159" s="38"/>
      <c r="K1159" s="38"/>
      <c r="L1159" s="38" t="s">
        <v>2136</v>
      </c>
      <c r="M1159" s="38">
        <v>1</v>
      </c>
      <c r="N1159" s="38" t="s">
        <v>2144</v>
      </c>
      <c r="O1159" s="10"/>
      <c r="P1159" s="25" t="str">
        <f>HYPERLINK("http://biade.itrust.de/biade/lpext.dll?f=id&amp;id=biadb%3Ar%3A003480&amp;t=main-h.htm","3480")</f>
        <v>3480</v>
      </c>
    </row>
    <row r="1160" spans="1:16" ht="15.75" thickBot="1">
      <c r="A1160" s="6" t="s">
        <v>3238</v>
      </c>
      <c r="B1160" s="10" t="s">
        <v>1066</v>
      </c>
      <c r="C1160" s="11" t="s">
        <v>3239</v>
      </c>
      <c r="D1160" s="10" t="s">
        <v>3795</v>
      </c>
      <c r="E1160" s="38" t="s">
        <v>3796</v>
      </c>
      <c r="F1160" s="38" t="s">
        <v>280</v>
      </c>
      <c r="G1160" s="38"/>
      <c r="H1160" s="38" t="s">
        <v>2129</v>
      </c>
      <c r="I1160" s="38" t="s">
        <v>2124</v>
      </c>
      <c r="J1160" s="38"/>
      <c r="K1160" s="38"/>
      <c r="L1160" s="38" t="s">
        <v>2130</v>
      </c>
      <c r="M1160" s="38">
        <v>1</v>
      </c>
      <c r="N1160" s="38" t="s">
        <v>3792</v>
      </c>
      <c r="O1160" s="10"/>
      <c r="P1160" s="25" t="str">
        <f>HYPERLINK("http://biade.itrust.de/biade/lpext.dll?f=id&amp;id=biadb%3Ar%3A018860&amp;t=main-h.htm","18860")</f>
        <v>18860</v>
      </c>
    </row>
    <row r="1161" spans="1:16" ht="15">
      <c r="A1161" s="49" t="s">
        <v>3240</v>
      </c>
      <c r="B1161" s="49"/>
      <c r="C1161" s="51" t="s">
        <v>3241</v>
      </c>
      <c r="D1161" s="49" t="s">
        <v>1229</v>
      </c>
      <c r="E1161" s="47" t="s">
        <v>3242</v>
      </c>
      <c r="F1161" s="47" t="s">
        <v>3243</v>
      </c>
      <c r="G1161" s="47" t="s">
        <v>2183</v>
      </c>
      <c r="H1161" s="47" t="s">
        <v>3220</v>
      </c>
      <c r="I1161" s="39" t="s">
        <v>3991</v>
      </c>
      <c r="J1161" s="47">
        <v>4</v>
      </c>
      <c r="K1161" s="47" t="s">
        <v>2157</v>
      </c>
      <c r="L1161" s="47" t="s">
        <v>2211</v>
      </c>
      <c r="M1161" s="47">
        <v>1</v>
      </c>
      <c r="N1161" s="47" t="s">
        <v>3993</v>
      </c>
      <c r="O1161" s="49"/>
      <c r="P1161" s="51"/>
    </row>
    <row r="1162" spans="1:16" ht="15.75" thickBot="1">
      <c r="A1162" s="50"/>
      <c r="B1162" s="50"/>
      <c r="C1162" s="52"/>
      <c r="D1162" s="50"/>
      <c r="E1162" s="48"/>
      <c r="F1162" s="48"/>
      <c r="G1162" s="48"/>
      <c r="H1162" s="48"/>
      <c r="I1162" s="38" t="s">
        <v>2124</v>
      </c>
      <c r="J1162" s="48"/>
      <c r="K1162" s="48"/>
      <c r="L1162" s="48"/>
      <c r="M1162" s="48"/>
      <c r="N1162" s="48"/>
      <c r="O1162" s="50"/>
      <c r="P1162" s="52"/>
    </row>
    <row r="1163" spans="1:16" ht="15.75" thickBot="1">
      <c r="A1163" s="6" t="s">
        <v>3244</v>
      </c>
      <c r="B1163" s="10" t="s">
        <v>2121</v>
      </c>
      <c r="C1163" s="11" t="s">
        <v>3245</v>
      </c>
      <c r="D1163" s="10"/>
      <c r="E1163" s="38"/>
      <c r="F1163" s="38"/>
      <c r="G1163" s="38"/>
      <c r="H1163" s="38" t="s">
        <v>2123</v>
      </c>
      <c r="I1163" s="38" t="s">
        <v>2124</v>
      </c>
      <c r="J1163" s="38"/>
      <c r="K1163" s="38"/>
      <c r="L1163" s="38" t="s">
        <v>2136</v>
      </c>
      <c r="M1163" s="38">
        <v>1</v>
      </c>
      <c r="N1163" s="38"/>
      <c r="O1163" s="10"/>
      <c r="P1163" s="25" t="str">
        <f>HYPERLINK("http://biade.itrust.de/biade/lpext.dll?f=id&amp;id=biadb%3Ar%3A002560&amp;t=main-h.htm","2560")</f>
        <v>2560</v>
      </c>
    </row>
    <row r="1164" spans="1:16" ht="15.75" thickBot="1">
      <c r="A1164" s="6" t="s">
        <v>3246</v>
      </c>
      <c r="B1164" s="10" t="s">
        <v>1065</v>
      </c>
      <c r="C1164" s="11" t="s">
        <v>3247</v>
      </c>
      <c r="D1164" s="10" t="s">
        <v>3887</v>
      </c>
      <c r="E1164" s="38" t="s">
        <v>3248</v>
      </c>
      <c r="F1164" s="38" t="s">
        <v>3249</v>
      </c>
      <c r="G1164" s="38" t="s">
        <v>3250</v>
      </c>
      <c r="H1164" s="38" t="s">
        <v>3220</v>
      </c>
      <c r="I1164" s="38" t="s">
        <v>2124</v>
      </c>
      <c r="J1164" s="38"/>
      <c r="K1164" s="38"/>
      <c r="L1164" s="38" t="s">
        <v>2205</v>
      </c>
      <c r="M1164" s="38">
        <v>2</v>
      </c>
      <c r="N1164" s="38" t="s">
        <v>2250</v>
      </c>
      <c r="O1164" s="10"/>
      <c r="P1164" s="11"/>
    </row>
    <row r="1165" spans="1:16" ht="25.5">
      <c r="A1165" s="49" t="s">
        <v>3251</v>
      </c>
      <c r="B1165" s="7" t="s">
        <v>3252</v>
      </c>
      <c r="C1165" s="51" t="s">
        <v>3253</v>
      </c>
      <c r="D1165" s="49" t="s">
        <v>3795</v>
      </c>
      <c r="E1165" s="47" t="s">
        <v>3808</v>
      </c>
      <c r="F1165" s="47" t="s">
        <v>482</v>
      </c>
      <c r="G1165" s="47"/>
      <c r="H1165" s="47" t="s">
        <v>2164</v>
      </c>
      <c r="I1165" s="47" t="s">
        <v>2124</v>
      </c>
      <c r="J1165" s="47"/>
      <c r="K1165" s="47"/>
      <c r="L1165" s="47" t="s">
        <v>2213</v>
      </c>
      <c r="M1165" s="47"/>
      <c r="N1165" s="47"/>
      <c r="O1165" s="49"/>
      <c r="P1165" s="51"/>
    </row>
    <row r="1166" spans="1:16" ht="15.75" thickBot="1">
      <c r="A1166" s="50"/>
      <c r="B1166" s="10" t="s">
        <v>1262</v>
      </c>
      <c r="C1166" s="52"/>
      <c r="D1166" s="50"/>
      <c r="E1166" s="48"/>
      <c r="F1166" s="48"/>
      <c r="G1166" s="48"/>
      <c r="H1166" s="48"/>
      <c r="I1166" s="48"/>
      <c r="J1166" s="48"/>
      <c r="K1166" s="48"/>
      <c r="L1166" s="48"/>
      <c r="M1166" s="48"/>
      <c r="N1166" s="48"/>
      <c r="O1166" s="50"/>
      <c r="P1166" s="52"/>
    </row>
    <row r="1167" spans="1:16" ht="26.25" thickBot="1">
      <c r="A1167" s="6" t="s">
        <v>3254</v>
      </c>
      <c r="B1167" s="10" t="s">
        <v>2121</v>
      </c>
      <c r="C1167" s="11" t="s">
        <v>3255</v>
      </c>
      <c r="D1167" s="10"/>
      <c r="E1167" s="38"/>
      <c r="F1167" s="38"/>
      <c r="G1167" s="38"/>
      <c r="H1167" s="38" t="s">
        <v>2123</v>
      </c>
      <c r="I1167" s="38" t="s">
        <v>2124</v>
      </c>
      <c r="J1167" s="38"/>
      <c r="K1167" s="38"/>
      <c r="L1167" s="38" t="s">
        <v>2125</v>
      </c>
      <c r="M1167" s="38">
        <v>1</v>
      </c>
      <c r="N1167" s="38"/>
      <c r="O1167" s="10"/>
      <c r="P1167" s="25" t="str">
        <f>HYPERLINK("http://biade.itrust.de/biade/lpext.dll?f=id&amp;id=biadb%3Ar%3A001670&amp;t=main-h.htm","1670")</f>
        <v>1670</v>
      </c>
    </row>
    <row r="1168" spans="1:16" ht="15.75" thickBot="1">
      <c r="A1168" s="6" t="s">
        <v>3256</v>
      </c>
      <c r="B1168" s="10" t="s">
        <v>2121</v>
      </c>
      <c r="C1168" s="11" t="s">
        <v>3257</v>
      </c>
      <c r="D1168" s="10"/>
      <c r="E1168" s="38"/>
      <c r="F1168" s="38"/>
      <c r="G1168" s="38"/>
      <c r="H1168" s="38" t="s">
        <v>2123</v>
      </c>
      <c r="I1168" s="38" t="s">
        <v>2124</v>
      </c>
      <c r="J1168" s="38"/>
      <c r="K1168" s="38"/>
      <c r="L1168" s="38" t="s">
        <v>2125</v>
      </c>
      <c r="M1168" s="38">
        <v>1</v>
      </c>
      <c r="N1168" s="38"/>
      <c r="O1168" s="10"/>
      <c r="P1168" s="25" t="str">
        <f>HYPERLINK("http://biade.itrust.de/biade/lpext.dll?f=id&amp;id=biadb%3Ar%3A002440&amp;t=main-h.htm","2440")</f>
        <v>2440</v>
      </c>
    </row>
    <row r="1169" spans="1:16" ht="26.25" thickBot="1">
      <c r="A1169" s="6" t="s">
        <v>3258</v>
      </c>
      <c r="B1169" s="10" t="s">
        <v>2121</v>
      </c>
      <c r="C1169" s="11" t="s">
        <v>3259</v>
      </c>
      <c r="D1169" s="10"/>
      <c r="E1169" s="38"/>
      <c r="F1169" s="38"/>
      <c r="G1169" s="38"/>
      <c r="H1169" s="38" t="s">
        <v>2123</v>
      </c>
      <c r="I1169" s="38" t="s">
        <v>2124</v>
      </c>
      <c r="J1169" s="38"/>
      <c r="K1169" s="38"/>
      <c r="L1169" s="38" t="s">
        <v>2125</v>
      </c>
      <c r="M1169" s="38">
        <v>1</v>
      </c>
      <c r="N1169" s="38"/>
      <c r="O1169" s="10"/>
      <c r="P1169" s="25" t="str">
        <f>HYPERLINK("http://biade.itrust.de/biade/lpext.dll?f=id&amp;id=biadb%3Ar%3A001660&amp;t=main-h.htm","1660")</f>
        <v>1660</v>
      </c>
    </row>
    <row r="1170" spans="1:16" ht="25.5" customHeight="1">
      <c r="A1170" s="5" t="s">
        <v>3260</v>
      </c>
      <c r="B1170" s="49"/>
      <c r="C1170" s="51" t="s">
        <v>3261</v>
      </c>
      <c r="D1170" s="49" t="s">
        <v>2134</v>
      </c>
      <c r="E1170" s="47">
        <v>41</v>
      </c>
      <c r="F1170" s="47" t="s">
        <v>3262</v>
      </c>
      <c r="G1170" s="47"/>
      <c r="H1170" s="47" t="s">
        <v>2164</v>
      </c>
      <c r="I1170" s="47" t="s">
        <v>2124</v>
      </c>
      <c r="J1170" s="47"/>
      <c r="K1170" s="47"/>
      <c r="L1170" s="47" t="s">
        <v>2136</v>
      </c>
      <c r="M1170" s="47">
        <v>1</v>
      </c>
      <c r="N1170" s="47" t="s">
        <v>4043</v>
      </c>
      <c r="O1170" s="49"/>
      <c r="P1170" s="51"/>
    </row>
    <row r="1171" spans="1:16" ht="15.75" thickBot="1">
      <c r="A1171" s="6" t="s">
        <v>1617</v>
      </c>
      <c r="B1171" s="50"/>
      <c r="C1171" s="52"/>
      <c r="D1171" s="50"/>
      <c r="E1171" s="48"/>
      <c r="F1171" s="48"/>
      <c r="G1171" s="48"/>
      <c r="H1171" s="48"/>
      <c r="I1171" s="48"/>
      <c r="J1171" s="48"/>
      <c r="K1171" s="48"/>
      <c r="L1171" s="48"/>
      <c r="M1171" s="48"/>
      <c r="N1171" s="48"/>
      <c r="O1171" s="50"/>
      <c r="P1171" s="52"/>
    </row>
    <row r="1172" spans="1:16" ht="15">
      <c r="A1172" s="5" t="s">
        <v>3263</v>
      </c>
      <c r="B1172" s="49" t="s">
        <v>2121</v>
      </c>
      <c r="C1172" s="51" t="s">
        <v>3265</v>
      </c>
      <c r="D1172" s="49" t="s">
        <v>2128</v>
      </c>
      <c r="E1172" s="47" t="s">
        <v>3266</v>
      </c>
      <c r="F1172" s="47" t="s">
        <v>3267</v>
      </c>
      <c r="G1172" s="47"/>
      <c r="H1172" s="47" t="s">
        <v>2129</v>
      </c>
      <c r="I1172" s="47" t="s">
        <v>2124</v>
      </c>
      <c r="J1172" s="47"/>
      <c r="K1172" s="47"/>
      <c r="L1172" s="47" t="s">
        <v>2136</v>
      </c>
      <c r="M1172" s="47">
        <v>1</v>
      </c>
      <c r="N1172" s="47"/>
      <c r="O1172" s="49"/>
      <c r="P1172" s="51"/>
    </row>
    <row r="1173" spans="1:16" ht="26.25" customHeight="1" thickBot="1">
      <c r="A1173" s="6" t="s">
        <v>3264</v>
      </c>
      <c r="B1173" s="50"/>
      <c r="C1173" s="52"/>
      <c r="D1173" s="50"/>
      <c r="E1173" s="48"/>
      <c r="F1173" s="48"/>
      <c r="G1173" s="48"/>
      <c r="H1173" s="48"/>
      <c r="I1173" s="48"/>
      <c r="J1173" s="48"/>
      <c r="K1173" s="48"/>
      <c r="L1173" s="48"/>
      <c r="M1173" s="48"/>
      <c r="N1173" s="48"/>
      <c r="O1173" s="50"/>
      <c r="P1173" s="52"/>
    </row>
    <row r="1174" spans="1:16" ht="15">
      <c r="A1174" s="49" t="s">
        <v>3268</v>
      </c>
      <c r="B1174" s="49" t="s">
        <v>3269</v>
      </c>
      <c r="C1174" s="51" t="s">
        <v>2295</v>
      </c>
      <c r="D1174" s="49" t="s">
        <v>2227</v>
      </c>
      <c r="E1174" s="47">
        <v>35</v>
      </c>
      <c r="F1174" s="47" t="s">
        <v>3270</v>
      </c>
      <c r="G1174" s="47"/>
      <c r="H1174" s="47" t="s">
        <v>3220</v>
      </c>
      <c r="I1174" s="47" t="s">
        <v>2124</v>
      </c>
      <c r="J1174" s="47"/>
      <c r="K1174" s="47"/>
      <c r="L1174" s="47" t="s">
        <v>2136</v>
      </c>
      <c r="M1174" s="47">
        <v>1</v>
      </c>
      <c r="N1174" s="39" t="s">
        <v>3271</v>
      </c>
      <c r="O1174" s="49"/>
      <c r="P1174" s="51"/>
    </row>
    <row r="1175" spans="1:16" ht="25.5" customHeight="1">
      <c r="A1175" s="56"/>
      <c r="B1175" s="56"/>
      <c r="C1175" s="57"/>
      <c r="D1175" s="56"/>
      <c r="E1175" s="55"/>
      <c r="F1175" s="55"/>
      <c r="G1175" s="55"/>
      <c r="H1175" s="55"/>
      <c r="I1175" s="55"/>
      <c r="J1175" s="55"/>
      <c r="K1175" s="55"/>
      <c r="L1175" s="55"/>
      <c r="M1175" s="55"/>
      <c r="N1175" s="39" t="s">
        <v>3272</v>
      </c>
      <c r="O1175" s="56"/>
      <c r="P1175" s="57"/>
    </row>
    <row r="1176" spans="1:16" ht="26.25" customHeight="1" thickBot="1">
      <c r="A1176" s="50"/>
      <c r="B1176" s="50"/>
      <c r="C1176" s="52"/>
      <c r="D1176" s="50"/>
      <c r="E1176" s="48"/>
      <c r="F1176" s="48"/>
      <c r="G1176" s="48"/>
      <c r="H1176" s="48"/>
      <c r="I1176" s="48"/>
      <c r="J1176" s="48"/>
      <c r="K1176" s="48"/>
      <c r="L1176" s="48"/>
      <c r="M1176" s="48"/>
      <c r="N1176" s="38" t="s">
        <v>3273</v>
      </c>
      <c r="O1176" s="50"/>
      <c r="P1176" s="52"/>
    </row>
    <row r="1177" spans="1:16" ht="15">
      <c r="A1177" s="5" t="s">
        <v>3274</v>
      </c>
      <c r="B1177" s="7" t="s">
        <v>3275</v>
      </c>
      <c r="C1177" s="51" t="s">
        <v>3276</v>
      </c>
      <c r="D1177" s="49" t="s">
        <v>2227</v>
      </c>
      <c r="E1177" s="47" t="s">
        <v>3277</v>
      </c>
      <c r="F1177" s="47" t="s">
        <v>3278</v>
      </c>
      <c r="G1177" s="47"/>
      <c r="H1177" s="47" t="s">
        <v>2164</v>
      </c>
      <c r="I1177" s="47" t="s">
        <v>2124</v>
      </c>
      <c r="J1177" s="47"/>
      <c r="K1177" s="47"/>
      <c r="L1177" s="47" t="s">
        <v>2136</v>
      </c>
      <c r="M1177" s="47">
        <v>2</v>
      </c>
      <c r="N1177" s="47"/>
      <c r="O1177" s="49"/>
      <c r="P1177" s="51"/>
    </row>
    <row r="1178" spans="1:16" ht="26.25" customHeight="1" thickBot="1">
      <c r="A1178" s="6" t="s">
        <v>992</v>
      </c>
      <c r="B1178" s="10" t="s">
        <v>1262</v>
      </c>
      <c r="C1178" s="52"/>
      <c r="D1178" s="50"/>
      <c r="E1178" s="48"/>
      <c r="F1178" s="48"/>
      <c r="G1178" s="48"/>
      <c r="H1178" s="48"/>
      <c r="I1178" s="48"/>
      <c r="J1178" s="48"/>
      <c r="K1178" s="48"/>
      <c r="L1178" s="48"/>
      <c r="M1178" s="48"/>
      <c r="N1178" s="48"/>
      <c r="O1178" s="50"/>
      <c r="P1178" s="52"/>
    </row>
    <row r="1179" spans="1:16" ht="15.75" thickBot="1">
      <c r="A1179" s="21" t="s">
        <v>3279</v>
      </c>
      <c r="B1179" s="22" t="s">
        <v>2121</v>
      </c>
      <c r="C1179" s="23" t="s">
        <v>3280</v>
      </c>
      <c r="D1179" s="22" t="s">
        <v>4020</v>
      </c>
      <c r="E1179" s="43">
        <v>8</v>
      </c>
      <c r="F1179" s="43">
        <v>17</v>
      </c>
      <c r="G1179" s="43"/>
      <c r="H1179" s="43" t="s">
        <v>2164</v>
      </c>
      <c r="I1179" s="43" t="s">
        <v>2124</v>
      </c>
      <c r="J1179" s="43"/>
      <c r="K1179" s="43"/>
      <c r="L1179" s="43" t="s">
        <v>2136</v>
      </c>
      <c r="M1179" s="43">
        <v>1</v>
      </c>
      <c r="N1179" s="43"/>
      <c r="O1179" s="22"/>
      <c r="P1179" s="23"/>
    </row>
    <row r="1180" spans="1:16" ht="15.75" thickBot="1">
      <c r="A1180" s="6" t="s">
        <v>3281</v>
      </c>
      <c r="B1180" s="10" t="s">
        <v>2121</v>
      </c>
      <c r="C1180" s="11" t="s">
        <v>3282</v>
      </c>
      <c r="D1180" s="10" t="s">
        <v>2187</v>
      </c>
      <c r="E1180" s="38">
        <v>50</v>
      </c>
      <c r="F1180" s="38">
        <v>61</v>
      </c>
      <c r="G1180" s="38"/>
      <c r="H1180" s="38" t="s">
        <v>2123</v>
      </c>
      <c r="I1180" s="38" t="s">
        <v>2124</v>
      </c>
      <c r="J1180" s="38"/>
      <c r="K1180" s="38"/>
      <c r="L1180" s="38" t="s">
        <v>2125</v>
      </c>
      <c r="M1180" s="38">
        <v>1</v>
      </c>
      <c r="N1180" s="38"/>
      <c r="O1180" s="10"/>
      <c r="P1180" s="25" t="str">
        <f>HYPERLINK("http://biade.itrust.de/biade/lpext.dll?f=id&amp;id=biadb%3Ar%3A491020&amp;t=main-h.htm","491020")</f>
        <v>491020</v>
      </c>
    </row>
    <row r="1181" spans="1:16" ht="15.75" thickBot="1">
      <c r="A1181" s="6" t="s">
        <v>3283</v>
      </c>
      <c r="B1181" s="10" t="s">
        <v>2121</v>
      </c>
      <c r="C1181" s="11" t="s">
        <v>3284</v>
      </c>
      <c r="D1181" s="10"/>
      <c r="E1181" s="38"/>
      <c r="F1181" s="38"/>
      <c r="G1181" s="38"/>
      <c r="H1181" s="38" t="s">
        <v>2123</v>
      </c>
      <c r="I1181" s="38" t="s">
        <v>2124</v>
      </c>
      <c r="J1181" s="38"/>
      <c r="K1181" s="38"/>
      <c r="L1181" s="38" t="s">
        <v>2136</v>
      </c>
      <c r="M1181" s="38">
        <v>1</v>
      </c>
      <c r="N1181" s="38"/>
      <c r="O1181" s="10"/>
      <c r="P1181" s="11"/>
    </row>
    <row r="1182" spans="1:16" ht="15.75" thickBot="1">
      <c r="A1182" s="6" t="s">
        <v>3285</v>
      </c>
      <c r="B1182" s="10" t="s">
        <v>2121</v>
      </c>
      <c r="C1182" s="11" t="s">
        <v>3286</v>
      </c>
      <c r="D1182" s="10" t="s">
        <v>2141</v>
      </c>
      <c r="E1182" s="38" t="s">
        <v>3287</v>
      </c>
      <c r="F1182" s="38" t="s">
        <v>112</v>
      </c>
      <c r="G1182" s="38"/>
      <c r="H1182" s="38" t="s">
        <v>2164</v>
      </c>
      <c r="I1182" s="38" t="s">
        <v>2124</v>
      </c>
      <c r="J1182" s="38"/>
      <c r="K1182" s="38"/>
      <c r="L1182" s="38" t="s">
        <v>2136</v>
      </c>
      <c r="M1182" s="38">
        <v>1</v>
      </c>
      <c r="N1182" s="38" t="s">
        <v>2144</v>
      </c>
      <c r="O1182" s="10"/>
      <c r="P1182" s="25" t="str">
        <f>HYPERLINK("http://biade.itrust.de/biade/lpext.dll?f=id&amp;id=biadb%3Ar%3A001810&amp;t=main-h.htm","1810")</f>
        <v>1810</v>
      </c>
    </row>
    <row r="1183" spans="1:16" ht="15.75" thickBot="1">
      <c r="A1183" s="6" t="s">
        <v>3288</v>
      </c>
      <c r="B1183" s="10" t="s">
        <v>2121</v>
      </c>
      <c r="C1183" s="11" t="s">
        <v>3289</v>
      </c>
      <c r="D1183" s="10" t="s">
        <v>2916</v>
      </c>
      <c r="E1183" s="38" t="s">
        <v>313</v>
      </c>
      <c r="F1183" s="38" t="s">
        <v>314</v>
      </c>
      <c r="G1183" s="38"/>
      <c r="H1183" s="38" t="s">
        <v>3220</v>
      </c>
      <c r="I1183" s="38" t="s">
        <v>2124</v>
      </c>
      <c r="J1183" s="38"/>
      <c r="K1183" s="38" t="s">
        <v>2157</v>
      </c>
      <c r="L1183" s="38" t="s">
        <v>2215</v>
      </c>
      <c r="M1183" s="38">
        <v>2</v>
      </c>
      <c r="N1183" s="38" t="s">
        <v>315</v>
      </c>
      <c r="O1183" s="10"/>
      <c r="P1183" s="25" t="str">
        <f>HYPERLINK("http://biade.itrust.de/biade/lpext.dll?f=id&amp;id=biadb%3Ar%3A001380&amp;t=main-h.htm","1380")</f>
        <v>1380</v>
      </c>
    </row>
    <row r="1184" spans="1:16" ht="15">
      <c r="A1184" s="5" t="s">
        <v>993</v>
      </c>
      <c r="B1184" s="7" t="s">
        <v>3290</v>
      </c>
      <c r="C1184" s="51" t="s">
        <v>3291</v>
      </c>
      <c r="D1184" s="49" t="s">
        <v>1229</v>
      </c>
      <c r="E1184" s="47">
        <v>25</v>
      </c>
      <c r="F1184" s="47" t="s">
        <v>3292</v>
      </c>
      <c r="G1184" s="47"/>
      <c r="H1184" s="47" t="s">
        <v>3220</v>
      </c>
      <c r="I1184" s="47" t="s">
        <v>2124</v>
      </c>
      <c r="J1184" s="47"/>
      <c r="K1184" s="47" t="s">
        <v>2157</v>
      </c>
      <c r="L1184" s="47" t="s">
        <v>2130</v>
      </c>
      <c r="M1184" s="47">
        <v>3</v>
      </c>
      <c r="N1184" s="47" t="s">
        <v>2798</v>
      </c>
      <c r="O1184" s="49"/>
      <c r="P1184" s="51"/>
    </row>
    <row r="1185" spans="1:16" ht="15.75" thickBot="1">
      <c r="A1185" s="6" t="s">
        <v>1623</v>
      </c>
      <c r="B1185" s="10" t="s">
        <v>1262</v>
      </c>
      <c r="C1185" s="52"/>
      <c r="D1185" s="50"/>
      <c r="E1185" s="48"/>
      <c r="F1185" s="48"/>
      <c r="G1185" s="48"/>
      <c r="H1185" s="48"/>
      <c r="I1185" s="48"/>
      <c r="J1185" s="48"/>
      <c r="K1185" s="48"/>
      <c r="L1185" s="48"/>
      <c r="M1185" s="48"/>
      <c r="N1185" s="48"/>
      <c r="O1185" s="50"/>
      <c r="P1185" s="52"/>
    </row>
    <row r="1186" spans="1:16" ht="26.25" thickBot="1">
      <c r="A1186" s="6" t="s">
        <v>3293</v>
      </c>
      <c r="B1186" s="10" t="s">
        <v>3294</v>
      </c>
      <c r="C1186" s="11"/>
      <c r="D1186" s="10"/>
      <c r="E1186" s="38"/>
      <c r="F1186" s="38"/>
      <c r="G1186" s="38"/>
      <c r="H1186" s="38" t="s">
        <v>2123</v>
      </c>
      <c r="I1186" s="38" t="s">
        <v>2124</v>
      </c>
      <c r="J1186" s="38"/>
      <c r="K1186" s="38"/>
      <c r="L1186" s="38" t="s">
        <v>2125</v>
      </c>
      <c r="M1186" s="38"/>
      <c r="N1186" s="38"/>
      <c r="O1186" s="10"/>
      <c r="P1186" s="11"/>
    </row>
    <row r="1187" spans="1:16" ht="15.75" thickBot="1">
      <c r="A1187" s="6" t="s">
        <v>3295</v>
      </c>
      <c r="B1187" s="10"/>
      <c r="C1187" s="11" t="s">
        <v>3296</v>
      </c>
      <c r="D1187" s="10" t="s">
        <v>2128</v>
      </c>
      <c r="E1187" s="38" t="s">
        <v>4025</v>
      </c>
      <c r="F1187" s="38" t="s">
        <v>4026</v>
      </c>
      <c r="G1187" s="38"/>
      <c r="H1187" s="38" t="s">
        <v>2164</v>
      </c>
      <c r="I1187" s="38" t="s">
        <v>2124</v>
      </c>
      <c r="J1187" s="38"/>
      <c r="K1187" s="38"/>
      <c r="L1187" s="38" t="s">
        <v>2136</v>
      </c>
      <c r="M1187" s="38">
        <v>1</v>
      </c>
      <c r="N1187" s="38" t="s">
        <v>2786</v>
      </c>
      <c r="O1187" s="10"/>
      <c r="P1187" s="25" t="str">
        <f>HYPERLINK("http://biade.itrust.de/biade/lpext.dll?f=id&amp;id=biadb%3Ar%3A570199&amp;t=main-h.htm","570199")</f>
        <v>570199</v>
      </c>
    </row>
    <row r="1188" spans="1:16" ht="22.5" customHeight="1">
      <c r="A1188" s="5" t="s">
        <v>3297</v>
      </c>
      <c r="B1188" s="49" t="s">
        <v>3298</v>
      </c>
      <c r="C1188" s="51" t="s">
        <v>3299</v>
      </c>
      <c r="D1188" s="49" t="s">
        <v>1229</v>
      </c>
      <c r="E1188" s="47" t="s">
        <v>3300</v>
      </c>
      <c r="F1188" s="47" t="s">
        <v>3301</v>
      </c>
      <c r="G1188" s="47" t="s">
        <v>3302</v>
      </c>
      <c r="H1188" s="47" t="s">
        <v>689</v>
      </c>
      <c r="I1188" s="47" t="s">
        <v>2124</v>
      </c>
      <c r="J1188" s="47"/>
      <c r="K1188" s="47"/>
      <c r="L1188" s="47" t="s">
        <v>2216</v>
      </c>
      <c r="M1188" s="47">
        <v>1</v>
      </c>
      <c r="N1188" s="47" t="s">
        <v>3303</v>
      </c>
      <c r="O1188" s="49"/>
      <c r="P1188" s="51"/>
    </row>
    <row r="1189" spans="1:16" ht="15.75" thickBot="1">
      <c r="A1189" s="6" t="s">
        <v>2891</v>
      </c>
      <c r="B1189" s="50"/>
      <c r="C1189" s="52"/>
      <c r="D1189" s="50"/>
      <c r="E1189" s="48"/>
      <c r="F1189" s="48"/>
      <c r="G1189" s="48"/>
      <c r="H1189" s="48"/>
      <c r="I1189" s="48"/>
      <c r="J1189" s="48"/>
      <c r="K1189" s="48"/>
      <c r="L1189" s="48"/>
      <c r="M1189" s="48"/>
      <c r="N1189" s="48"/>
      <c r="O1189" s="50"/>
      <c r="P1189" s="52"/>
    </row>
    <row r="1190" spans="1:16" ht="22.5" customHeight="1">
      <c r="A1190" s="5" t="s">
        <v>3297</v>
      </c>
      <c r="B1190" s="49" t="s">
        <v>3304</v>
      </c>
      <c r="C1190" s="51" t="s">
        <v>3299</v>
      </c>
      <c r="D1190" s="49" t="s">
        <v>1229</v>
      </c>
      <c r="E1190" s="47" t="s">
        <v>3305</v>
      </c>
      <c r="F1190" s="47" t="s">
        <v>3301</v>
      </c>
      <c r="G1190" s="47" t="s">
        <v>3302</v>
      </c>
      <c r="H1190" s="47" t="s">
        <v>689</v>
      </c>
      <c r="I1190" s="47" t="s">
        <v>2124</v>
      </c>
      <c r="J1190" s="47"/>
      <c r="K1190" s="47"/>
      <c r="L1190" s="47" t="s">
        <v>2216</v>
      </c>
      <c r="M1190" s="47">
        <v>1</v>
      </c>
      <c r="N1190" s="47" t="s">
        <v>3303</v>
      </c>
      <c r="O1190" s="49"/>
      <c r="P1190" s="51"/>
    </row>
    <row r="1191" spans="1:16" ht="15.75" thickBot="1">
      <c r="A1191" s="6" t="s">
        <v>2891</v>
      </c>
      <c r="B1191" s="50"/>
      <c r="C1191" s="52"/>
      <c r="D1191" s="50"/>
      <c r="E1191" s="48"/>
      <c r="F1191" s="48"/>
      <c r="G1191" s="48"/>
      <c r="H1191" s="48"/>
      <c r="I1191" s="48"/>
      <c r="J1191" s="48"/>
      <c r="K1191" s="48"/>
      <c r="L1191" s="48"/>
      <c r="M1191" s="48"/>
      <c r="N1191" s="48"/>
      <c r="O1191" s="50"/>
      <c r="P1191" s="52"/>
    </row>
    <row r="1192" spans="1:16" ht="15">
      <c r="A1192" s="5" t="s">
        <v>3306</v>
      </c>
      <c r="B1192" s="49"/>
      <c r="C1192" s="51" t="s">
        <v>3307</v>
      </c>
      <c r="D1192" s="49" t="s">
        <v>2141</v>
      </c>
      <c r="E1192" s="47" t="s">
        <v>322</v>
      </c>
      <c r="F1192" s="47" t="s">
        <v>323</v>
      </c>
      <c r="G1192" s="47"/>
      <c r="H1192" s="47" t="s">
        <v>2164</v>
      </c>
      <c r="I1192" s="47" t="s">
        <v>2124</v>
      </c>
      <c r="J1192" s="47"/>
      <c r="K1192" s="47"/>
      <c r="L1192" s="47" t="s">
        <v>2136</v>
      </c>
      <c r="M1192" s="47">
        <v>1</v>
      </c>
      <c r="N1192" s="47" t="s">
        <v>2144</v>
      </c>
      <c r="O1192" s="49"/>
      <c r="P1192" s="51"/>
    </row>
    <row r="1193" spans="1:16" ht="15.75" thickBot="1">
      <c r="A1193" s="6" t="s">
        <v>2160</v>
      </c>
      <c r="B1193" s="50"/>
      <c r="C1193" s="52"/>
      <c r="D1193" s="50"/>
      <c r="E1193" s="48"/>
      <c r="F1193" s="48"/>
      <c r="G1193" s="48"/>
      <c r="H1193" s="48"/>
      <c r="I1193" s="48"/>
      <c r="J1193" s="48"/>
      <c r="K1193" s="48"/>
      <c r="L1193" s="48"/>
      <c r="M1193" s="48"/>
      <c r="N1193" s="48"/>
      <c r="O1193" s="50"/>
      <c r="P1193" s="52"/>
    </row>
    <row r="1194" spans="1:16" ht="15">
      <c r="A1194" s="5" t="s">
        <v>3306</v>
      </c>
      <c r="B1194" s="49"/>
      <c r="C1194" s="51" t="s">
        <v>3308</v>
      </c>
      <c r="D1194" s="49" t="s">
        <v>2141</v>
      </c>
      <c r="E1194" s="47" t="s">
        <v>322</v>
      </c>
      <c r="F1194" s="47" t="s">
        <v>323</v>
      </c>
      <c r="G1194" s="47"/>
      <c r="H1194" s="47" t="s">
        <v>2164</v>
      </c>
      <c r="I1194" s="47" t="s">
        <v>2124</v>
      </c>
      <c r="J1194" s="47"/>
      <c r="K1194" s="47"/>
      <c r="L1194" s="47" t="s">
        <v>2136</v>
      </c>
      <c r="M1194" s="47">
        <v>1</v>
      </c>
      <c r="N1194" s="47" t="s">
        <v>2144</v>
      </c>
      <c r="O1194" s="49"/>
      <c r="P1194" s="51"/>
    </row>
    <row r="1195" spans="1:16" ht="15.75" thickBot="1">
      <c r="A1195" s="6" t="s">
        <v>1617</v>
      </c>
      <c r="B1195" s="50"/>
      <c r="C1195" s="52"/>
      <c r="D1195" s="50"/>
      <c r="E1195" s="48"/>
      <c r="F1195" s="48"/>
      <c r="G1195" s="48"/>
      <c r="H1195" s="48"/>
      <c r="I1195" s="48"/>
      <c r="J1195" s="48"/>
      <c r="K1195" s="48"/>
      <c r="L1195" s="48"/>
      <c r="M1195" s="48"/>
      <c r="N1195" s="48"/>
      <c r="O1195" s="50"/>
      <c r="P1195" s="52"/>
    </row>
    <row r="1196" spans="1:16" ht="15.75" thickBot="1">
      <c r="A1196" s="6" t="s">
        <v>3309</v>
      </c>
      <c r="B1196" s="10" t="s">
        <v>3310</v>
      </c>
      <c r="C1196" s="11" t="s">
        <v>3311</v>
      </c>
      <c r="D1196" s="10" t="s">
        <v>2141</v>
      </c>
      <c r="E1196" s="38" t="s">
        <v>3312</v>
      </c>
      <c r="F1196" s="38">
        <v>26</v>
      </c>
      <c r="G1196" s="38"/>
      <c r="H1196" s="38" t="s">
        <v>3054</v>
      </c>
      <c r="I1196" s="38" t="s">
        <v>2124</v>
      </c>
      <c r="J1196" s="38"/>
      <c r="K1196" s="38"/>
      <c r="L1196" s="38" t="s">
        <v>2136</v>
      </c>
      <c r="M1196" s="38">
        <v>1</v>
      </c>
      <c r="N1196" s="38" t="s">
        <v>2144</v>
      </c>
      <c r="O1196" s="10"/>
      <c r="P1196" s="25" t="str">
        <f>HYPERLINK("http://biade.itrust.de/biade/lpext.dll?f=id&amp;id=biadb%3Ar%3A490496&amp;t=main-h.htm","490496")</f>
        <v>490496</v>
      </c>
    </row>
    <row r="1197" spans="1:16" ht="15.75" thickBot="1">
      <c r="A1197" s="6" t="s">
        <v>3313</v>
      </c>
      <c r="B1197" s="10"/>
      <c r="C1197" s="11" t="s">
        <v>3314</v>
      </c>
      <c r="D1197" s="10" t="s">
        <v>194</v>
      </c>
      <c r="E1197" s="38" t="s">
        <v>3315</v>
      </c>
      <c r="F1197" s="38" t="s">
        <v>3316</v>
      </c>
      <c r="G1197" s="38"/>
      <c r="H1197" s="38" t="s">
        <v>3220</v>
      </c>
      <c r="I1197" s="38" t="s">
        <v>2124</v>
      </c>
      <c r="J1197" s="38"/>
      <c r="K1197" s="38"/>
      <c r="L1197" s="38" t="s">
        <v>2216</v>
      </c>
      <c r="M1197" s="38">
        <v>1</v>
      </c>
      <c r="N1197" s="38"/>
      <c r="O1197" s="10"/>
      <c r="P1197" s="25" t="str">
        <f>HYPERLINK("http://biade.itrust.de/biade/lpext.dll?f=id&amp;id=biadb%3Ar%3A001220&amp;t=main-h.htm","1220")</f>
        <v>1220</v>
      </c>
    </row>
    <row r="1198" spans="1:16" ht="15.75" thickBot="1">
      <c r="A1198" s="6" t="s">
        <v>3317</v>
      </c>
      <c r="B1198" s="10" t="s">
        <v>3318</v>
      </c>
      <c r="C1198" s="11" t="s">
        <v>3319</v>
      </c>
      <c r="D1198" s="10" t="s">
        <v>2141</v>
      </c>
      <c r="E1198" s="38" t="s">
        <v>4035</v>
      </c>
      <c r="F1198" s="38" t="s">
        <v>596</v>
      </c>
      <c r="G1198" s="38" t="s">
        <v>3940</v>
      </c>
      <c r="H1198" s="38" t="s">
        <v>3054</v>
      </c>
      <c r="I1198" s="38" t="s">
        <v>2124</v>
      </c>
      <c r="J1198" s="38"/>
      <c r="K1198" s="38"/>
      <c r="L1198" s="38" t="s">
        <v>2216</v>
      </c>
      <c r="M1198" s="38">
        <v>1</v>
      </c>
      <c r="N1198" s="38" t="s">
        <v>3320</v>
      </c>
      <c r="O1198" s="10"/>
      <c r="P1198" s="25" t="str">
        <f>HYPERLINK("http://biade.itrust.de/biade/lpext.dll?f=id&amp;id=biadb%3Ar%3A006120&amp;t=main-h.htm","6120")</f>
        <v>6120</v>
      </c>
    </row>
    <row r="1199" spans="1:16" ht="26.25" thickBot="1">
      <c r="A1199" s="17" t="s">
        <v>3321</v>
      </c>
      <c r="B1199" s="10" t="s">
        <v>3322</v>
      </c>
      <c r="C1199" s="11" t="s">
        <v>3323</v>
      </c>
      <c r="D1199" s="10" t="s">
        <v>2134</v>
      </c>
      <c r="E1199" s="38" t="s">
        <v>2162</v>
      </c>
      <c r="F1199" s="38">
        <v>26</v>
      </c>
      <c r="G1199" s="38"/>
      <c r="H1199" s="38" t="s">
        <v>2164</v>
      </c>
      <c r="I1199" s="38" t="s">
        <v>2124</v>
      </c>
      <c r="J1199" s="38"/>
      <c r="K1199" s="38"/>
      <c r="L1199" s="38" t="s">
        <v>2136</v>
      </c>
      <c r="M1199" s="38">
        <v>1</v>
      </c>
      <c r="N1199" s="38"/>
      <c r="O1199" s="10"/>
      <c r="P1199" s="25" t="str">
        <f>HYPERLINK("http://biade.itrust.de/biade/lpext.dll?f=id&amp;id=biadb%3Ar%3A001890&amp;t=main-h.htm","1890")</f>
        <v>1890</v>
      </c>
    </row>
    <row r="1200" spans="1:16" ht="15.75" thickBot="1">
      <c r="A1200" s="6" t="s">
        <v>3324</v>
      </c>
      <c r="B1200" s="10"/>
      <c r="C1200" s="11" t="s">
        <v>3325</v>
      </c>
      <c r="D1200" s="10" t="s">
        <v>2152</v>
      </c>
      <c r="E1200" s="38" t="s">
        <v>3326</v>
      </c>
      <c r="F1200" s="38" t="s">
        <v>1244</v>
      </c>
      <c r="G1200" s="38"/>
      <c r="H1200" s="38" t="s">
        <v>3220</v>
      </c>
      <c r="I1200" s="38" t="s">
        <v>2124</v>
      </c>
      <c r="J1200" s="38"/>
      <c r="K1200" s="38"/>
      <c r="L1200" s="38" t="s">
        <v>2136</v>
      </c>
      <c r="M1200" s="38">
        <v>2</v>
      </c>
      <c r="N1200" s="38" t="s">
        <v>2798</v>
      </c>
      <c r="O1200" s="10"/>
      <c r="P1200" s="25" t="str">
        <f>HYPERLINK("http://biade.itrust.de/biade/lpext.dll?f=id&amp;id=biadb%3Ar%3A003470&amp;t=main-h.htm","3470")</f>
        <v>3470</v>
      </c>
    </row>
    <row r="1201" spans="1:16" ht="25.5" customHeight="1">
      <c r="A1201" s="53" t="s">
        <v>994</v>
      </c>
      <c r="B1201" s="7" t="s">
        <v>3327</v>
      </c>
      <c r="C1201" s="51" t="s">
        <v>3328</v>
      </c>
      <c r="D1201" s="49"/>
      <c r="E1201" s="47"/>
      <c r="F1201" s="47"/>
      <c r="G1201" s="47"/>
      <c r="H1201" s="47" t="s">
        <v>2123</v>
      </c>
      <c r="I1201" s="47" t="s">
        <v>2124</v>
      </c>
      <c r="J1201" s="47"/>
      <c r="K1201" s="47"/>
      <c r="L1201" s="47" t="s">
        <v>2165</v>
      </c>
      <c r="M1201" s="47">
        <v>1</v>
      </c>
      <c r="N1201" s="47"/>
      <c r="O1201" s="49"/>
      <c r="P1201" s="51"/>
    </row>
    <row r="1202" spans="1:16" ht="15.75" thickBot="1">
      <c r="A1202" s="54"/>
      <c r="B1202" s="10" t="s">
        <v>1262</v>
      </c>
      <c r="C1202" s="52"/>
      <c r="D1202" s="50"/>
      <c r="E1202" s="48"/>
      <c r="F1202" s="48"/>
      <c r="G1202" s="48"/>
      <c r="H1202" s="48"/>
      <c r="I1202" s="48"/>
      <c r="J1202" s="48"/>
      <c r="K1202" s="48"/>
      <c r="L1202" s="48"/>
      <c r="M1202" s="48"/>
      <c r="N1202" s="48"/>
      <c r="O1202" s="50"/>
      <c r="P1202" s="52"/>
    </row>
    <row r="1203" spans="1:16" ht="15.75" thickBot="1">
      <c r="A1203" s="6" t="s">
        <v>3329</v>
      </c>
      <c r="B1203" s="10" t="s">
        <v>2121</v>
      </c>
      <c r="C1203" s="11" t="s">
        <v>3330</v>
      </c>
      <c r="D1203" s="10" t="s">
        <v>2128</v>
      </c>
      <c r="E1203" s="38" t="s">
        <v>2149</v>
      </c>
      <c r="F1203" s="38" t="s">
        <v>2641</v>
      </c>
      <c r="G1203" s="38"/>
      <c r="H1203" s="38" t="s">
        <v>2164</v>
      </c>
      <c r="I1203" s="38" t="s">
        <v>2124</v>
      </c>
      <c r="J1203" s="38"/>
      <c r="K1203" s="38"/>
      <c r="L1203" s="38" t="s">
        <v>2136</v>
      </c>
      <c r="M1203" s="38">
        <v>1</v>
      </c>
      <c r="N1203" s="38" t="s">
        <v>2144</v>
      </c>
      <c r="O1203" s="10"/>
      <c r="P1203" s="25" t="str">
        <f>HYPERLINK("http://biade.itrust.de/biade/lpext.dll?f=id&amp;id=biadb%3Ar%3A026140&amp;t=main-h.htm","26140")</f>
        <v>26140</v>
      </c>
    </row>
    <row r="1204" spans="1:16" ht="15">
      <c r="A1204" s="49" t="s">
        <v>3331</v>
      </c>
      <c r="B1204" s="7" t="s">
        <v>3332</v>
      </c>
      <c r="C1204" s="51" t="s">
        <v>3334</v>
      </c>
      <c r="D1204" s="49" t="s">
        <v>2134</v>
      </c>
      <c r="E1204" s="47" t="s">
        <v>2162</v>
      </c>
      <c r="F1204" s="47">
        <v>26</v>
      </c>
      <c r="G1204" s="47"/>
      <c r="H1204" s="47" t="s">
        <v>2164</v>
      </c>
      <c r="I1204" s="47" t="s">
        <v>2124</v>
      </c>
      <c r="J1204" s="47"/>
      <c r="K1204" s="47"/>
      <c r="L1204" s="47" t="s">
        <v>2136</v>
      </c>
      <c r="M1204" s="47">
        <v>1</v>
      </c>
      <c r="N1204" s="47" t="s">
        <v>3017</v>
      </c>
      <c r="O1204" s="49"/>
      <c r="P1204" s="51"/>
    </row>
    <row r="1205" spans="1:16" ht="15.75" customHeight="1" thickBot="1">
      <c r="A1205" s="50"/>
      <c r="B1205" s="10" t="s">
        <v>3333</v>
      </c>
      <c r="C1205" s="52"/>
      <c r="D1205" s="50"/>
      <c r="E1205" s="48"/>
      <c r="F1205" s="48"/>
      <c r="G1205" s="48"/>
      <c r="H1205" s="48"/>
      <c r="I1205" s="48"/>
      <c r="J1205" s="48"/>
      <c r="K1205" s="48"/>
      <c r="L1205" s="48"/>
      <c r="M1205" s="48"/>
      <c r="N1205" s="48"/>
      <c r="O1205" s="50"/>
      <c r="P1205" s="52"/>
    </row>
    <row r="1206" spans="1:16" ht="15.75" thickBot="1">
      <c r="A1206" s="6" t="s">
        <v>995</v>
      </c>
      <c r="B1206" s="10" t="s">
        <v>2121</v>
      </c>
      <c r="C1206" s="11" t="s">
        <v>3335</v>
      </c>
      <c r="D1206" s="10"/>
      <c r="E1206" s="38"/>
      <c r="F1206" s="38"/>
      <c r="G1206" s="38"/>
      <c r="H1206" s="38" t="s">
        <v>2123</v>
      </c>
      <c r="I1206" s="38" t="s">
        <v>2124</v>
      </c>
      <c r="J1206" s="38"/>
      <c r="K1206" s="38"/>
      <c r="L1206" s="38" t="s">
        <v>2125</v>
      </c>
      <c r="M1206" s="38">
        <v>1</v>
      </c>
      <c r="N1206" s="38"/>
      <c r="O1206" s="10"/>
      <c r="P1206" s="25" t="str">
        <f>HYPERLINK("http://biade.itrust.de/biade/lpext.dll?f=id&amp;id=biadb%3Ar%3A001400&amp;t=main-h.htm","1400")</f>
        <v>1400</v>
      </c>
    </row>
    <row r="1207" spans="1:16" ht="15">
      <c r="A1207" s="15" t="s">
        <v>3336</v>
      </c>
      <c r="B1207" s="49" t="s">
        <v>2121</v>
      </c>
      <c r="C1207" s="51" t="s">
        <v>3337</v>
      </c>
      <c r="D1207" s="49"/>
      <c r="E1207" s="47"/>
      <c r="F1207" s="47"/>
      <c r="G1207" s="47"/>
      <c r="H1207" s="47" t="s">
        <v>2123</v>
      </c>
      <c r="I1207" s="47" t="s">
        <v>2124</v>
      </c>
      <c r="J1207" s="47"/>
      <c r="K1207" s="47"/>
      <c r="L1207" s="47" t="s">
        <v>2125</v>
      </c>
      <c r="M1207" s="47">
        <v>1</v>
      </c>
      <c r="N1207" s="47"/>
      <c r="O1207" s="49"/>
      <c r="P1207" s="51"/>
    </row>
    <row r="1208" spans="1:16" ht="15.75" thickBot="1">
      <c r="A1208" s="6" t="s">
        <v>2160</v>
      </c>
      <c r="B1208" s="50"/>
      <c r="C1208" s="52"/>
      <c r="D1208" s="50"/>
      <c r="E1208" s="48"/>
      <c r="F1208" s="48"/>
      <c r="G1208" s="48"/>
      <c r="H1208" s="48"/>
      <c r="I1208" s="48"/>
      <c r="J1208" s="48"/>
      <c r="K1208" s="48"/>
      <c r="L1208" s="48"/>
      <c r="M1208" s="48"/>
      <c r="N1208" s="48"/>
      <c r="O1208" s="50"/>
      <c r="P1208" s="52"/>
    </row>
    <row r="1209" spans="1:16" ht="15">
      <c r="A1209" s="5" t="s">
        <v>3338</v>
      </c>
      <c r="B1209" s="49" t="s">
        <v>3339</v>
      </c>
      <c r="C1209" s="51" t="s">
        <v>3340</v>
      </c>
      <c r="D1209" s="49" t="s">
        <v>898</v>
      </c>
      <c r="E1209" s="47" t="s">
        <v>3341</v>
      </c>
      <c r="F1209" s="47" t="s">
        <v>1244</v>
      </c>
      <c r="G1209" s="47"/>
      <c r="H1209" s="47" t="s">
        <v>3220</v>
      </c>
      <c r="I1209" s="47" t="s">
        <v>2124</v>
      </c>
      <c r="J1209" s="47"/>
      <c r="K1209" s="47"/>
      <c r="L1209" s="47" t="s">
        <v>2136</v>
      </c>
      <c r="M1209" s="47">
        <v>2</v>
      </c>
      <c r="N1209" s="47"/>
      <c r="O1209" s="49"/>
      <c r="P1209" s="51"/>
    </row>
    <row r="1210" spans="1:16" ht="15.75" thickBot="1">
      <c r="A1210" s="6" t="s">
        <v>2851</v>
      </c>
      <c r="B1210" s="50"/>
      <c r="C1210" s="52"/>
      <c r="D1210" s="50"/>
      <c r="E1210" s="48"/>
      <c r="F1210" s="48"/>
      <c r="G1210" s="48"/>
      <c r="H1210" s="48"/>
      <c r="I1210" s="48"/>
      <c r="J1210" s="48"/>
      <c r="K1210" s="48"/>
      <c r="L1210" s="48"/>
      <c r="M1210" s="48"/>
      <c r="N1210" s="48"/>
      <c r="O1210" s="50"/>
      <c r="P1210" s="52"/>
    </row>
    <row r="1211" spans="1:16" ht="15.75" thickBot="1">
      <c r="A1211" s="6" t="s">
        <v>3342</v>
      </c>
      <c r="B1211" s="10" t="s">
        <v>2121</v>
      </c>
      <c r="C1211" s="11" t="s">
        <v>3343</v>
      </c>
      <c r="D1211" s="10"/>
      <c r="E1211" s="38"/>
      <c r="F1211" s="38"/>
      <c r="G1211" s="38"/>
      <c r="H1211" s="38" t="s">
        <v>2123</v>
      </c>
      <c r="I1211" s="38" t="s">
        <v>2124</v>
      </c>
      <c r="J1211" s="38"/>
      <c r="K1211" s="38"/>
      <c r="L1211" s="38" t="s">
        <v>2136</v>
      </c>
      <c r="M1211" s="38">
        <v>1</v>
      </c>
      <c r="N1211" s="38"/>
      <c r="O1211" s="10"/>
      <c r="P1211" s="25" t="str">
        <f>HYPERLINK("http://biade.itrust.de/biade/lpext.dll?f=id&amp;id=biadb%3Ar%3A570201&amp;t=main-h.htm","570201")</f>
        <v>570201</v>
      </c>
    </row>
    <row r="1212" spans="1:16" ht="25.5" customHeight="1">
      <c r="A1212" s="5" t="s">
        <v>996</v>
      </c>
      <c r="B1212" s="49" t="s">
        <v>836</v>
      </c>
      <c r="C1212" s="51" t="s">
        <v>3344</v>
      </c>
      <c r="D1212" s="49" t="s">
        <v>3345</v>
      </c>
      <c r="E1212" s="47" t="s">
        <v>1911</v>
      </c>
      <c r="F1212" s="47" t="s">
        <v>1231</v>
      </c>
      <c r="G1212" s="47" t="s">
        <v>840</v>
      </c>
      <c r="H1212" s="47" t="s">
        <v>3346</v>
      </c>
      <c r="I1212" s="39">
        <v>0.5</v>
      </c>
      <c r="J1212" s="47" t="s">
        <v>3881</v>
      </c>
      <c r="K1212" s="47"/>
      <c r="L1212" s="47" t="s">
        <v>2136</v>
      </c>
      <c r="M1212" s="47">
        <v>1</v>
      </c>
      <c r="N1212" s="47" t="s">
        <v>3347</v>
      </c>
      <c r="O1212" s="49"/>
      <c r="P1212" s="51"/>
    </row>
    <row r="1213" spans="1:16" ht="15.75" thickBot="1">
      <c r="A1213" s="6" t="s">
        <v>2160</v>
      </c>
      <c r="B1213" s="50"/>
      <c r="C1213" s="52"/>
      <c r="D1213" s="50"/>
      <c r="E1213" s="48"/>
      <c r="F1213" s="48"/>
      <c r="G1213" s="48"/>
      <c r="H1213" s="48"/>
      <c r="I1213" s="38" t="s">
        <v>2124</v>
      </c>
      <c r="J1213" s="48"/>
      <c r="K1213" s="48"/>
      <c r="L1213" s="48"/>
      <c r="M1213" s="48"/>
      <c r="N1213" s="48"/>
      <c r="O1213" s="50"/>
      <c r="P1213" s="52"/>
    </row>
    <row r="1214" spans="1:16" ht="15.75" thickBot="1">
      <c r="A1214" s="6" t="s">
        <v>3348</v>
      </c>
      <c r="B1214" s="10" t="s">
        <v>3349</v>
      </c>
      <c r="C1214" s="11" t="s">
        <v>3350</v>
      </c>
      <c r="D1214" s="10" t="s">
        <v>2128</v>
      </c>
      <c r="E1214" s="38" t="s">
        <v>355</v>
      </c>
      <c r="F1214" s="38" t="s">
        <v>356</v>
      </c>
      <c r="G1214" s="38"/>
      <c r="H1214" s="38" t="s">
        <v>3351</v>
      </c>
      <c r="I1214" s="38" t="s">
        <v>2124</v>
      </c>
      <c r="J1214" s="38"/>
      <c r="K1214" s="38"/>
      <c r="L1214" s="38" t="s">
        <v>2136</v>
      </c>
      <c r="M1214" s="38">
        <v>1</v>
      </c>
      <c r="N1214" s="38" t="s">
        <v>2144</v>
      </c>
      <c r="O1214" s="10"/>
      <c r="P1214" s="25" t="str">
        <f>HYPERLINK("http://biade.itrust.de/biade/lpext.dll?f=id&amp;id=biadb%3Ar%3A003400&amp;t=main-h.htm","3400")</f>
        <v>3400</v>
      </c>
    </row>
    <row r="1215" spans="1:16" ht="15.75" thickBot="1">
      <c r="A1215" s="21" t="s">
        <v>3352</v>
      </c>
      <c r="B1215" s="22" t="s">
        <v>2121</v>
      </c>
      <c r="C1215" s="23" t="s">
        <v>3353</v>
      </c>
      <c r="D1215" s="22"/>
      <c r="E1215" s="43"/>
      <c r="F1215" s="43"/>
      <c r="G1215" s="43"/>
      <c r="H1215" s="43" t="s">
        <v>2123</v>
      </c>
      <c r="I1215" s="43" t="s">
        <v>2124</v>
      </c>
      <c r="J1215" s="43"/>
      <c r="K1215" s="43"/>
      <c r="L1215" s="43" t="s">
        <v>2136</v>
      </c>
      <c r="M1215" s="43">
        <v>1</v>
      </c>
      <c r="N1215" s="43"/>
      <c r="O1215" s="22"/>
      <c r="P1215" s="35" t="str">
        <f>HYPERLINK("http://biade.itrust.de/biade/lpext.dll?f=id&amp;id=biadb%3Ar%3A002480&amp;t=main-h.htm","2480")</f>
        <v>2480</v>
      </c>
    </row>
    <row r="1216" spans="1:16" ht="15.75" thickBot="1">
      <c r="A1216" s="6" t="s">
        <v>997</v>
      </c>
      <c r="B1216" s="10" t="s">
        <v>1064</v>
      </c>
      <c r="C1216" s="11" t="s">
        <v>3354</v>
      </c>
      <c r="D1216" s="10" t="s">
        <v>713</v>
      </c>
      <c r="E1216" s="38" t="s">
        <v>3355</v>
      </c>
      <c r="F1216" s="38" t="s">
        <v>3356</v>
      </c>
      <c r="G1216" s="38"/>
      <c r="H1216" s="38" t="s">
        <v>2164</v>
      </c>
      <c r="I1216" s="38" t="s">
        <v>2124</v>
      </c>
      <c r="J1216" s="38"/>
      <c r="K1216" s="38"/>
      <c r="L1216" s="38" t="s">
        <v>2194</v>
      </c>
      <c r="M1216" s="38">
        <v>2</v>
      </c>
      <c r="N1216" s="38"/>
      <c r="O1216" s="10"/>
      <c r="P1216" s="25" t="str">
        <f>HYPERLINK("http://biade.itrust.de/biade/lpext.dll?f=id&amp;id=biadb%3Ar%3A510363&amp;t=main-h.htm","510363")</f>
        <v>510363</v>
      </c>
    </row>
    <row r="1217" spans="1:16" ht="15.75" thickBot="1">
      <c r="A1217" s="6" t="s">
        <v>3357</v>
      </c>
      <c r="B1217" s="10" t="s">
        <v>2121</v>
      </c>
      <c r="C1217" s="11" t="s">
        <v>3358</v>
      </c>
      <c r="D1217" s="10" t="s">
        <v>2128</v>
      </c>
      <c r="E1217" s="38">
        <v>22</v>
      </c>
      <c r="F1217" s="38"/>
      <c r="G1217" s="38"/>
      <c r="H1217" s="38" t="s">
        <v>2164</v>
      </c>
      <c r="I1217" s="38" t="s">
        <v>2124</v>
      </c>
      <c r="J1217" s="38"/>
      <c r="K1217" s="38"/>
      <c r="L1217" s="38" t="s">
        <v>2136</v>
      </c>
      <c r="M1217" s="38">
        <v>1</v>
      </c>
      <c r="N1217" s="38" t="s">
        <v>2144</v>
      </c>
      <c r="O1217" s="10"/>
      <c r="P1217" s="11"/>
    </row>
    <row r="1218" spans="1:16" ht="15">
      <c r="A1218" s="49" t="s">
        <v>3359</v>
      </c>
      <c r="B1218" s="7" t="s">
        <v>3360</v>
      </c>
      <c r="C1218" s="51"/>
      <c r="D1218" s="49" t="s">
        <v>2227</v>
      </c>
      <c r="E1218" s="47">
        <v>34</v>
      </c>
      <c r="F1218" s="47" t="s">
        <v>3884</v>
      </c>
      <c r="G1218" s="47"/>
      <c r="H1218" s="47" t="s">
        <v>2164</v>
      </c>
      <c r="I1218" s="47" t="s">
        <v>2124</v>
      </c>
      <c r="J1218" s="47"/>
      <c r="K1218" s="47"/>
      <c r="L1218" s="47" t="s">
        <v>2136</v>
      </c>
      <c r="M1218" s="47">
        <v>1</v>
      </c>
      <c r="N1218" s="47"/>
      <c r="O1218" s="49"/>
      <c r="P1218" s="51"/>
    </row>
    <row r="1219" spans="1:16" ht="15.75" thickBot="1">
      <c r="A1219" s="50"/>
      <c r="B1219" s="10" t="s">
        <v>2121</v>
      </c>
      <c r="C1219" s="52"/>
      <c r="D1219" s="50"/>
      <c r="E1219" s="48"/>
      <c r="F1219" s="48"/>
      <c r="G1219" s="48"/>
      <c r="H1219" s="48"/>
      <c r="I1219" s="48"/>
      <c r="J1219" s="48"/>
      <c r="K1219" s="48"/>
      <c r="L1219" s="48"/>
      <c r="M1219" s="48"/>
      <c r="N1219" s="48"/>
      <c r="O1219" s="50"/>
      <c r="P1219" s="52"/>
    </row>
    <row r="1220" spans="1:16" ht="15">
      <c r="A1220" s="49" t="s">
        <v>3361</v>
      </c>
      <c r="B1220" s="7" t="s">
        <v>3362</v>
      </c>
      <c r="C1220" s="51" t="s">
        <v>3363</v>
      </c>
      <c r="D1220" s="49" t="s">
        <v>2128</v>
      </c>
      <c r="E1220" s="47" t="s">
        <v>3364</v>
      </c>
      <c r="F1220" s="47" t="s">
        <v>3365</v>
      </c>
      <c r="G1220" s="47" t="s">
        <v>3366</v>
      </c>
      <c r="H1220" s="47" t="s">
        <v>2164</v>
      </c>
      <c r="I1220" s="47" t="s">
        <v>2124</v>
      </c>
      <c r="J1220" s="47"/>
      <c r="K1220" s="47"/>
      <c r="L1220" s="47" t="s">
        <v>2130</v>
      </c>
      <c r="M1220" s="47">
        <v>1</v>
      </c>
      <c r="N1220" s="47" t="s">
        <v>3367</v>
      </c>
      <c r="O1220" s="49"/>
      <c r="P1220" s="51"/>
    </row>
    <row r="1221" spans="1:16" ht="15.75" thickBot="1">
      <c r="A1221" s="50"/>
      <c r="B1221" s="10" t="s">
        <v>5</v>
      </c>
      <c r="C1221" s="52"/>
      <c r="D1221" s="50"/>
      <c r="E1221" s="48"/>
      <c r="F1221" s="48"/>
      <c r="G1221" s="48"/>
      <c r="H1221" s="48"/>
      <c r="I1221" s="48"/>
      <c r="J1221" s="48"/>
      <c r="K1221" s="48"/>
      <c r="L1221" s="48"/>
      <c r="M1221" s="48"/>
      <c r="N1221" s="48"/>
      <c r="O1221" s="50"/>
      <c r="P1221" s="52"/>
    </row>
    <row r="1222" spans="1:16" ht="15">
      <c r="A1222" s="49" t="s">
        <v>3368</v>
      </c>
      <c r="B1222" s="49" t="s">
        <v>3369</v>
      </c>
      <c r="C1222" s="51" t="s">
        <v>3370</v>
      </c>
      <c r="D1222" s="49" t="s">
        <v>828</v>
      </c>
      <c r="E1222" s="47" t="s">
        <v>2066</v>
      </c>
      <c r="F1222" s="47" t="s">
        <v>3146</v>
      </c>
      <c r="G1222" s="47" t="s">
        <v>2183</v>
      </c>
      <c r="H1222" s="47" t="s">
        <v>1224</v>
      </c>
      <c r="I1222" s="39">
        <v>0.1</v>
      </c>
      <c r="J1222" s="47" t="s">
        <v>3371</v>
      </c>
      <c r="K1222" s="47" t="s">
        <v>2157</v>
      </c>
      <c r="L1222" s="47" t="s">
        <v>2197</v>
      </c>
      <c r="M1222" s="47">
        <v>3</v>
      </c>
      <c r="N1222" s="47" t="s">
        <v>3372</v>
      </c>
      <c r="O1222" s="49"/>
      <c r="P1222" s="51"/>
    </row>
    <row r="1223" spans="1:16" ht="15.75" thickBot="1">
      <c r="A1223" s="50"/>
      <c r="B1223" s="50"/>
      <c r="C1223" s="52"/>
      <c r="D1223" s="50"/>
      <c r="E1223" s="48"/>
      <c r="F1223" s="48"/>
      <c r="G1223" s="48"/>
      <c r="H1223" s="48"/>
      <c r="I1223" s="38" t="s">
        <v>2124</v>
      </c>
      <c r="J1223" s="48"/>
      <c r="K1223" s="48"/>
      <c r="L1223" s="48"/>
      <c r="M1223" s="48"/>
      <c r="N1223" s="48"/>
      <c r="O1223" s="50"/>
      <c r="P1223" s="52"/>
    </row>
    <row r="1224" spans="1:16" ht="15">
      <c r="A1224" s="49" t="s">
        <v>3373</v>
      </c>
      <c r="B1224" s="7" t="s">
        <v>3374</v>
      </c>
      <c r="C1224" s="51" t="s">
        <v>3376</v>
      </c>
      <c r="D1224" s="49" t="s">
        <v>3901</v>
      </c>
      <c r="E1224" s="47" t="s">
        <v>3826</v>
      </c>
      <c r="F1224" s="47" t="s">
        <v>3377</v>
      </c>
      <c r="G1224" s="47"/>
      <c r="H1224" s="47" t="s">
        <v>2164</v>
      </c>
      <c r="I1224" s="47" t="s">
        <v>2124</v>
      </c>
      <c r="J1224" s="47"/>
      <c r="K1224" s="47"/>
      <c r="L1224" s="47" t="s">
        <v>2165</v>
      </c>
      <c r="M1224" s="47" t="s">
        <v>2849</v>
      </c>
      <c r="N1224" s="47"/>
      <c r="O1224" s="49"/>
      <c r="P1224" s="51"/>
    </row>
    <row r="1225" spans="1:16" ht="15">
      <c r="A1225" s="56"/>
      <c r="B1225" s="7" t="s">
        <v>3375</v>
      </c>
      <c r="C1225" s="57"/>
      <c r="D1225" s="56"/>
      <c r="E1225" s="55"/>
      <c r="F1225" s="55"/>
      <c r="G1225" s="55"/>
      <c r="H1225" s="55"/>
      <c r="I1225" s="55"/>
      <c r="J1225" s="55"/>
      <c r="K1225" s="55"/>
      <c r="L1225" s="55"/>
      <c r="M1225" s="55"/>
      <c r="N1225" s="55"/>
      <c r="O1225" s="56"/>
      <c r="P1225" s="57"/>
    </row>
    <row r="1226" spans="1:16" ht="15.75" thickBot="1">
      <c r="A1226" s="50"/>
      <c r="B1226" s="10" t="s">
        <v>1256</v>
      </c>
      <c r="C1226" s="52"/>
      <c r="D1226" s="50"/>
      <c r="E1226" s="48"/>
      <c r="F1226" s="48"/>
      <c r="G1226" s="48"/>
      <c r="H1226" s="48"/>
      <c r="I1226" s="48"/>
      <c r="J1226" s="48"/>
      <c r="K1226" s="48"/>
      <c r="L1226" s="48"/>
      <c r="M1226" s="48"/>
      <c r="N1226" s="48"/>
      <c r="O1226" s="50"/>
      <c r="P1226" s="52"/>
    </row>
    <row r="1227" spans="1:16" ht="15.75" thickBot="1">
      <c r="A1227" s="6" t="s">
        <v>3378</v>
      </c>
      <c r="B1227" s="10" t="s">
        <v>3379</v>
      </c>
      <c r="C1227" s="11" t="s">
        <v>3380</v>
      </c>
      <c r="D1227" s="10"/>
      <c r="E1227" s="38"/>
      <c r="F1227" s="38"/>
      <c r="G1227" s="38"/>
      <c r="H1227" s="38" t="s">
        <v>2123</v>
      </c>
      <c r="I1227" s="38" t="s">
        <v>2124</v>
      </c>
      <c r="J1227" s="38"/>
      <c r="K1227" s="38"/>
      <c r="L1227" s="38" t="s">
        <v>2130</v>
      </c>
      <c r="M1227" s="38">
        <v>3</v>
      </c>
      <c r="N1227" s="38"/>
      <c r="O1227" s="10"/>
      <c r="P1227" s="11"/>
    </row>
    <row r="1228" spans="1:16" ht="15.75" thickBot="1">
      <c r="A1228" s="6" t="s">
        <v>3381</v>
      </c>
      <c r="B1228" s="10" t="s">
        <v>3382</v>
      </c>
      <c r="C1228" s="11" t="s">
        <v>3383</v>
      </c>
      <c r="D1228" s="10" t="s">
        <v>1229</v>
      </c>
      <c r="E1228" s="38" t="s">
        <v>3384</v>
      </c>
      <c r="F1228" s="38" t="s">
        <v>3385</v>
      </c>
      <c r="G1228" s="38" t="s">
        <v>1984</v>
      </c>
      <c r="H1228" s="38" t="s">
        <v>3220</v>
      </c>
      <c r="I1228" s="38" t="s">
        <v>2124</v>
      </c>
      <c r="J1228" s="38"/>
      <c r="K1228" s="38"/>
      <c r="L1228" s="38" t="s">
        <v>2125</v>
      </c>
      <c r="M1228" s="38">
        <v>2</v>
      </c>
      <c r="N1228" s="38"/>
      <c r="O1228" s="10"/>
      <c r="P1228" s="25" t="str">
        <f>HYPERLINK("http://biade.itrust.de/biade/lpext.dll?f=id&amp;id=biadb%3Ar%3A008230&amp;t=main-h.htm","8230")</f>
        <v>8230</v>
      </c>
    </row>
    <row r="1229" spans="1:16" ht="22.5" customHeight="1">
      <c r="A1229" s="5" t="s">
        <v>3386</v>
      </c>
      <c r="B1229" s="49" t="s">
        <v>2650</v>
      </c>
      <c r="C1229" s="51" t="s">
        <v>3387</v>
      </c>
      <c r="D1229" s="49" t="s">
        <v>2152</v>
      </c>
      <c r="E1229" s="47" t="s">
        <v>3388</v>
      </c>
      <c r="F1229" s="47" t="s">
        <v>2154</v>
      </c>
      <c r="G1229" s="47" t="s">
        <v>3389</v>
      </c>
      <c r="H1229" s="47" t="s">
        <v>2185</v>
      </c>
      <c r="I1229" s="47" t="s">
        <v>2124</v>
      </c>
      <c r="J1229" s="47"/>
      <c r="K1229" s="47" t="s">
        <v>2187</v>
      </c>
      <c r="L1229" s="47" t="s">
        <v>2136</v>
      </c>
      <c r="M1229" s="47">
        <v>3</v>
      </c>
      <c r="N1229" s="47" t="s">
        <v>3390</v>
      </c>
      <c r="O1229" s="49"/>
      <c r="P1229" s="51"/>
    </row>
    <row r="1230" spans="1:16" ht="15.75" thickBot="1">
      <c r="A1230" s="6" t="s">
        <v>2160</v>
      </c>
      <c r="B1230" s="50"/>
      <c r="C1230" s="52"/>
      <c r="D1230" s="50"/>
      <c r="E1230" s="48"/>
      <c r="F1230" s="48"/>
      <c r="G1230" s="48"/>
      <c r="H1230" s="48"/>
      <c r="I1230" s="48"/>
      <c r="J1230" s="48"/>
      <c r="K1230" s="48"/>
      <c r="L1230" s="48"/>
      <c r="M1230" s="48"/>
      <c r="N1230" s="48"/>
      <c r="O1230" s="50"/>
      <c r="P1230" s="52"/>
    </row>
    <row r="1231" spans="1:16" ht="16.5" thickBot="1">
      <c r="A1231" s="6" t="s">
        <v>3391</v>
      </c>
      <c r="B1231" s="10"/>
      <c r="C1231" s="11" t="s">
        <v>3392</v>
      </c>
      <c r="D1231" s="10" t="s">
        <v>2152</v>
      </c>
      <c r="E1231" s="38" t="s">
        <v>3388</v>
      </c>
      <c r="F1231" s="38" t="s">
        <v>2154</v>
      </c>
      <c r="G1231" s="38" t="s">
        <v>3389</v>
      </c>
      <c r="H1231" s="38" t="s">
        <v>2185</v>
      </c>
      <c r="I1231" s="38" t="s">
        <v>2124</v>
      </c>
      <c r="J1231" s="38"/>
      <c r="K1231" s="38" t="s">
        <v>2187</v>
      </c>
      <c r="L1231" s="38" t="s">
        <v>2136</v>
      </c>
      <c r="M1231" s="38">
        <v>3</v>
      </c>
      <c r="N1231" s="38" t="s">
        <v>3390</v>
      </c>
      <c r="O1231" s="10"/>
      <c r="P1231" s="25" t="str">
        <f>HYPERLINK("http://biade.itrust.de/biade/lpext.dll?f=id&amp;id=biadb%3Ar%3A003300&amp;t=main-h.htm","3300")</f>
        <v>3300</v>
      </c>
    </row>
    <row r="1232" spans="1:16" ht="15">
      <c r="A1232" s="49" t="s">
        <v>3393</v>
      </c>
      <c r="B1232" s="7" t="s">
        <v>3394</v>
      </c>
      <c r="C1232" s="51" t="s">
        <v>3395</v>
      </c>
      <c r="D1232" s="49" t="s">
        <v>3961</v>
      </c>
      <c r="E1232" s="47" t="s">
        <v>3396</v>
      </c>
      <c r="F1232" s="47" t="s">
        <v>3397</v>
      </c>
      <c r="G1232" s="47" t="s">
        <v>1984</v>
      </c>
      <c r="H1232" s="47" t="s">
        <v>3220</v>
      </c>
      <c r="I1232" s="47" t="s">
        <v>2124</v>
      </c>
      <c r="J1232" s="47"/>
      <c r="K1232" s="47"/>
      <c r="L1232" s="47" t="s">
        <v>2136</v>
      </c>
      <c r="M1232" s="47">
        <v>3</v>
      </c>
      <c r="N1232" s="47"/>
      <c r="O1232" s="49"/>
      <c r="P1232" s="51"/>
    </row>
    <row r="1233" spans="1:16" ht="15.75" thickBot="1">
      <c r="A1233" s="50"/>
      <c r="B1233" s="10" t="s">
        <v>349</v>
      </c>
      <c r="C1233" s="52"/>
      <c r="D1233" s="50"/>
      <c r="E1233" s="48"/>
      <c r="F1233" s="48"/>
      <c r="G1233" s="48"/>
      <c r="H1233" s="48"/>
      <c r="I1233" s="48"/>
      <c r="J1233" s="48"/>
      <c r="K1233" s="48"/>
      <c r="L1233" s="48"/>
      <c r="M1233" s="48"/>
      <c r="N1233" s="48"/>
      <c r="O1233" s="50"/>
      <c r="P1233" s="52"/>
    </row>
    <row r="1234" spans="1:16" ht="26.25" thickBot="1">
      <c r="A1234" s="6" t="s">
        <v>3398</v>
      </c>
      <c r="B1234" s="10"/>
      <c r="C1234" s="11" t="s">
        <v>3399</v>
      </c>
      <c r="D1234" s="10" t="s">
        <v>2916</v>
      </c>
      <c r="E1234" s="38" t="s">
        <v>3400</v>
      </c>
      <c r="F1234" s="38" t="s">
        <v>2154</v>
      </c>
      <c r="G1234" s="38" t="s">
        <v>3389</v>
      </c>
      <c r="H1234" s="38" t="s">
        <v>2185</v>
      </c>
      <c r="I1234" s="38" t="s">
        <v>2124</v>
      </c>
      <c r="J1234" s="38"/>
      <c r="K1234" s="38" t="s">
        <v>2187</v>
      </c>
      <c r="L1234" s="38" t="s">
        <v>2136</v>
      </c>
      <c r="M1234" s="38">
        <v>3</v>
      </c>
      <c r="N1234" s="38" t="s">
        <v>3390</v>
      </c>
      <c r="O1234" s="10"/>
      <c r="P1234" s="25" t="str">
        <f>HYPERLINK("http://biade.itrust.de/biade/lpext.dll?f=id&amp;id=biadb%3Ar%3A006310&amp;t=main-h.htm","6310")</f>
        <v>6310</v>
      </c>
    </row>
    <row r="1235" spans="1:16" ht="16.5" thickBot="1">
      <c r="A1235" s="6" t="s">
        <v>3401</v>
      </c>
      <c r="B1235" s="10"/>
      <c r="C1235" s="11" t="s">
        <v>3402</v>
      </c>
      <c r="D1235" s="10" t="s">
        <v>2152</v>
      </c>
      <c r="E1235" s="38" t="s">
        <v>3403</v>
      </c>
      <c r="F1235" s="38" t="s">
        <v>2154</v>
      </c>
      <c r="G1235" s="38" t="s">
        <v>3389</v>
      </c>
      <c r="H1235" s="38" t="s">
        <v>2185</v>
      </c>
      <c r="I1235" s="38" t="s">
        <v>2124</v>
      </c>
      <c r="J1235" s="38"/>
      <c r="K1235" s="38" t="s">
        <v>2187</v>
      </c>
      <c r="L1235" s="38" t="s">
        <v>2136</v>
      </c>
      <c r="M1235" s="38">
        <v>2</v>
      </c>
      <c r="N1235" s="38" t="s">
        <v>3390</v>
      </c>
      <c r="O1235" s="10"/>
      <c r="P1235" s="25" t="str">
        <f>HYPERLINK("http://biade.itrust.de/biade/lpext.dll?f=id&amp;id=biadb%3Ar%3A003890&amp;t=main-h.htm","3890")</f>
        <v>3890</v>
      </c>
    </row>
    <row r="1236" spans="1:16" ht="16.5" thickBot="1">
      <c r="A1236" s="6" t="s">
        <v>3404</v>
      </c>
      <c r="B1236" s="10"/>
      <c r="C1236" s="11" t="s">
        <v>3405</v>
      </c>
      <c r="D1236" s="10" t="s">
        <v>2152</v>
      </c>
      <c r="E1236" s="38" t="s">
        <v>3406</v>
      </c>
      <c r="F1236" s="38" t="s">
        <v>2154</v>
      </c>
      <c r="G1236" s="38" t="s">
        <v>3389</v>
      </c>
      <c r="H1236" s="38" t="s">
        <v>2185</v>
      </c>
      <c r="I1236" s="38" t="s">
        <v>2124</v>
      </c>
      <c r="J1236" s="38"/>
      <c r="K1236" s="38" t="s">
        <v>2187</v>
      </c>
      <c r="L1236" s="38" t="s">
        <v>2165</v>
      </c>
      <c r="M1236" s="38">
        <v>3</v>
      </c>
      <c r="N1236" s="38" t="s">
        <v>3390</v>
      </c>
      <c r="O1236" s="10"/>
      <c r="P1236" s="25" t="str">
        <f>HYPERLINK("http://biade.itrust.de/biade/lpext.dll?f=id&amp;id=biadb%3Ar%3A103506&amp;t=main-h.htm","103506")</f>
        <v>103506</v>
      </c>
    </row>
    <row r="1237" spans="1:16" ht="16.5" thickBot="1">
      <c r="A1237" s="6" t="s">
        <v>3407</v>
      </c>
      <c r="B1237" s="10"/>
      <c r="C1237" s="11" t="s">
        <v>3408</v>
      </c>
      <c r="D1237" s="10" t="s">
        <v>2152</v>
      </c>
      <c r="E1237" s="38" t="s">
        <v>3409</v>
      </c>
      <c r="F1237" s="38" t="s">
        <v>2154</v>
      </c>
      <c r="G1237" s="38" t="s">
        <v>3389</v>
      </c>
      <c r="H1237" s="38" t="s">
        <v>2185</v>
      </c>
      <c r="I1237" s="38" t="s">
        <v>2124</v>
      </c>
      <c r="J1237" s="38"/>
      <c r="K1237" s="38" t="s">
        <v>2187</v>
      </c>
      <c r="L1237" s="38" t="s">
        <v>2187</v>
      </c>
      <c r="M1237" s="38">
        <v>2</v>
      </c>
      <c r="N1237" s="38" t="s">
        <v>3390</v>
      </c>
      <c r="O1237" s="10"/>
      <c r="P1237" s="25" t="str">
        <f>HYPERLINK("http://biade.itrust.de/biade/lpext.dll?f=id&amp;id=biadb%3Ar%3A005990&amp;t=main-h.htm","5990")</f>
        <v>5990</v>
      </c>
    </row>
    <row r="1238" spans="1:16" ht="16.5" thickBot="1">
      <c r="A1238" s="6" t="s">
        <v>3410</v>
      </c>
      <c r="B1238" s="10"/>
      <c r="C1238" s="11" t="s">
        <v>3411</v>
      </c>
      <c r="D1238" s="10" t="s">
        <v>3961</v>
      </c>
      <c r="E1238" s="38" t="s">
        <v>3403</v>
      </c>
      <c r="F1238" s="38" t="s">
        <v>2154</v>
      </c>
      <c r="G1238" s="38" t="s">
        <v>3389</v>
      </c>
      <c r="H1238" s="38" t="s">
        <v>2185</v>
      </c>
      <c r="I1238" s="38" t="s">
        <v>2124</v>
      </c>
      <c r="J1238" s="38"/>
      <c r="K1238" s="38" t="s">
        <v>2187</v>
      </c>
      <c r="L1238" s="38" t="s">
        <v>2136</v>
      </c>
      <c r="M1238" s="38">
        <v>1</v>
      </c>
      <c r="N1238" s="38" t="s">
        <v>3390</v>
      </c>
      <c r="O1238" s="10"/>
      <c r="P1238" s="25" t="str">
        <f>HYPERLINK("http://biade.itrust.de/biade/lpext.dll?f=id&amp;id=biadb%3Ar%3A004410&amp;t=main-h.htm","4410")</f>
        <v>4410</v>
      </c>
    </row>
    <row r="1239" spans="1:16" ht="15.75" thickBot="1">
      <c r="A1239" s="6" t="s">
        <v>3412</v>
      </c>
      <c r="B1239" s="10" t="s">
        <v>3413</v>
      </c>
      <c r="C1239" s="11" t="s">
        <v>3414</v>
      </c>
      <c r="D1239" s="10" t="s">
        <v>1229</v>
      </c>
      <c r="E1239" s="38" t="s">
        <v>2052</v>
      </c>
      <c r="F1239" s="38" t="s">
        <v>2615</v>
      </c>
      <c r="G1239" s="38" t="s">
        <v>4017</v>
      </c>
      <c r="H1239" s="38" t="s">
        <v>2185</v>
      </c>
      <c r="I1239" s="38" t="s">
        <v>2124</v>
      </c>
      <c r="J1239" s="38"/>
      <c r="K1239" s="38" t="s">
        <v>2187</v>
      </c>
      <c r="L1239" s="38" t="s">
        <v>2136</v>
      </c>
      <c r="M1239" s="38">
        <v>1</v>
      </c>
      <c r="N1239" s="38" t="s">
        <v>3390</v>
      </c>
      <c r="O1239" s="10"/>
      <c r="P1239" s="25" t="str">
        <f>HYPERLINK("http://biade.itrust.de/biade/lpext.dll?f=id&amp;id=biadb%3Ar%3A500125&amp;t=main-h.htm","500125")</f>
        <v>500125</v>
      </c>
    </row>
    <row r="1240" spans="1:16" ht="16.5" thickBot="1">
      <c r="A1240" s="6" t="s">
        <v>3415</v>
      </c>
      <c r="B1240" s="10"/>
      <c r="C1240" s="11" t="s">
        <v>3416</v>
      </c>
      <c r="D1240" s="10" t="s">
        <v>2152</v>
      </c>
      <c r="E1240" s="38" t="s">
        <v>3403</v>
      </c>
      <c r="F1240" s="38" t="s">
        <v>2154</v>
      </c>
      <c r="G1240" s="38" t="s">
        <v>3389</v>
      </c>
      <c r="H1240" s="38" t="s">
        <v>2185</v>
      </c>
      <c r="I1240" s="38" t="s">
        <v>2124</v>
      </c>
      <c r="J1240" s="38"/>
      <c r="K1240" s="38" t="s">
        <v>2187</v>
      </c>
      <c r="L1240" s="38" t="s">
        <v>2136</v>
      </c>
      <c r="M1240" s="38">
        <v>3</v>
      </c>
      <c r="N1240" s="38" t="s">
        <v>3390</v>
      </c>
      <c r="O1240" s="10"/>
      <c r="P1240" s="25" t="str">
        <f>HYPERLINK("http://biade.itrust.de/biade/lpext.dll?f=id&amp;id=biadb%3Ar%3A490525&amp;t=main-h.htm","490525")</f>
        <v>490525</v>
      </c>
    </row>
    <row r="1241" spans="1:16" ht="15.75" thickBot="1">
      <c r="A1241" s="6" t="s">
        <v>3417</v>
      </c>
      <c r="B1241" s="10" t="s">
        <v>1063</v>
      </c>
      <c r="C1241" s="11" t="s">
        <v>3418</v>
      </c>
      <c r="D1241" s="10" t="s">
        <v>1229</v>
      </c>
      <c r="E1241" s="38" t="s">
        <v>2052</v>
      </c>
      <c r="F1241" s="38" t="s">
        <v>2615</v>
      </c>
      <c r="G1241" s="38" t="s">
        <v>4017</v>
      </c>
      <c r="H1241" s="38" t="s">
        <v>2185</v>
      </c>
      <c r="I1241" s="38" t="s">
        <v>2124</v>
      </c>
      <c r="J1241" s="38"/>
      <c r="K1241" s="38" t="s">
        <v>2187</v>
      </c>
      <c r="L1241" s="38" t="s">
        <v>2136</v>
      </c>
      <c r="M1241" s="38">
        <v>1</v>
      </c>
      <c r="N1241" s="38" t="s">
        <v>3390</v>
      </c>
      <c r="O1241" s="10"/>
      <c r="P1241" s="25" t="str">
        <f>HYPERLINK("http://biade.itrust.de/biade/lpext.dll?f=id&amp;id=biadb%3Ar%3A001230&amp;t=main-h.htm","1230")</f>
        <v>1230</v>
      </c>
    </row>
    <row r="1242" spans="1:16" ht="16.5" thickBot="1">
      <c r="A1242" s="6" t="s">
        <v>3419</v>
      </c>
      <c r="B1242" s="10" t="s">
        <v>3420</v>
      </c>
      <c r="C1242" s="11" t="s">
        <v>3421</v>
      </c>
      <c r="D1242" s="10" t="s">
        <v>2152</v>
      </c>
      <c r="E1242" s="38" t="s">
        <v>3403</v>
      </c>
      <c r="F1242" s="38" t="s">
        <v>2154</v>
      </c>
      <c r="G1242" s="38" t="s">
        <v>3389</v>
      </c>
      <c r="H1242" s="38" t="s">
        <v>2185</v>
      </c>
      <c r="I1242" s="38" t="s">
        <v>2124</v>
      </c>
      <c r="J1242" s="38"/>
      <c r="K1242" s="38" t="s">
        <v>2187</v>
      </c>
      <c r="L1242" s="38" t="s">
        <v>2136</v>
      </c>
      <c r="M1242" s="38">
        <v>2</v>
      </c>
      <c r="N1242" s="38" t="s">
        <v>3390</v>
      </c>
      <c r="O1242" s="10"/>
      <c r="P1242" s="25" t="str">
        <f>HYPERLINK("http://biade.itrust.de/biade/lpext.dll?f=id&amp;id=biadb%3Ar%3A003890&amp;t=main-h.htm","3890")</f>
        <v>3890</v>
      </c>
    </row>
    <row r="1243" spans="1:16" ht="15.75" thickBot="1">
      <c r="A1243" s="6" t="s">
        <v>3422</v>
      </c>
      <c r="B1243" s="10"/>
      <c r="C1243" s="11" t="s">
        <v>3423</v>
      </c>
      <c r="D1243" s="10" t="s">
        <v>2152</v>
      </c>
      <c r="E1243" s="38" t="s">
        <v>3424</v>
      </c>
      <c r="F1243" s="38" t="s">
        <v>2154</v>
      </c>
      <c r="G1243" s="38" t="s">
        <v>3425</v>
      </c>
      <c r="H1243" s="38" t="s">
        <v>2185</v>
      </c>
      <c r="I1243" s="38" t="s">
        <v>2124</v>
      </c>
      <c r="J1243" s="38"/>
      <c r="K1243" s="38" t="s">
        <v>2187</v>
      </c>
      <c r="L1243" s="38" t="s">
        <v>2136</v>
      </c>
      <c r="M1243" s="38">
        <v>1</v>
      </c>
      <c r="N1243" s="38" t="s">
        <v>3390</v>
      </c>
      <c r="O1243" s="10"/>
      <c r="P1243" s="25" t="str">
        <f>HYPERLINK("http://biade.itrust.de/biade/lpext.dll?f=id&amp;id=biadb%3Ar%3A004990&amp;t=main-h.htm","4990")</f>
        <v>4990</v>
      </c>
    </row>
    <row r="1244" spans="1:16" ht="16.5" thickBot="1">
      <c r="A1244" s="6" t="s">
        <v>3426</v>
      </c>
      <c r="B1244" s="10"/>
      <c r="C1244" s="11" t="s">
        <v>3427</v>
      </c>
      <c r="D1244" s="10" t="s">
        <v>1221</v>
      </c>
      <c r="E1244" s="38" t="s">
        <v>3428</v>
      </c>
      <c r="F1244" s="38" t="s">
        <v>2154</v>
      </c>
      <c r="G1244" s="38" t="s">
        <v>3429</v>
      </c>
      <c r="H1244" s="38" t="s">
        <v>689</v>
      </c>
      <c r="I1244" s="38" t="s">
        <v>2124</v>
      </c>
      <c r="J1244" s="38"/>
      <c r="K1244" s="38" t="s">
        <v>2189</v>
      </c>
      <c r="L1244" s="38" t="s">
        <v>2130</v>
      </c>
      <c r="M1244" s="38">
        <v>3</v>
      </c>
      <c r="N1244" s="38"/>
      <c r="O1244" s="10"/>
      <c r="P1244" s="25" t="str">
        <f>HYPERLINK("http://biade.itrust.de/biade/lpext.dll?f=id&amp;id=biadb%3Ar%3A004260&amp;t=main-h.htm","4260")</f>
        <v>4260</v>
      </c>
    </row>
    <row r="1245" spans="1:16" ht="15">
      <c r="A1245" s="49" t="s">
        <v>3430</v>
      </c>
      <c r="B1245" s="49" t="s">
        <v>1062</v>
      </c>
      <c r="C1245" s="51" t="s">
        <v>3431</v>
      </c>
      <c r="D1245" s="49" t="s">
        <v>828</v>
      </c>
      <c r="E1245" s="47" t="s">
        <v>3432</v>
      </c>
      <c r="F1245" s="47" t="s">
        <v>3433</v>
      </c>
      <c r="G1245" s="47" t="s">
        <v>2183</v>
      </c>
      <c r="H1245" s="47" t="s">
        <v>1224</v>
      </c>
      <c r="I1245" s="39">
        <v>0.5</v>
      </c>
      <c r="J1245" s="47">
        <v>2</v>
      </c>
      <c r="K1245" s="47" t="s">
        <v>2157</v>
      </c>
      <c r="L1245" s="47" t="s">
        <v>2165</v>
      </c>
      <c r="M1245" s="47"/>
      <c r="N1245" s="47" t="s">
        <v>3434</v>
      </c>
      <c r="O1245" s="49"/>
      <c r="P1245" s="51"/>
    </row>
    <row r="1246" spans="1:16" ht="15.75" thickBot="1">
      <c r="A1246" s="50"/>
      <c r="B1246" s="50"/>
      <c r="C1246" s="52"/>
      <c r="D1246" s="50"/>
      <c r="E1246" s="48"/>
      <c r="F1246" s="48"/>
      <c r="G1246" s="48"/>
      <c r="H1246" s="48"/>
      <c r="I1246" s="38" t="s">
        <v>2124</v>
      </c>
      <c r="J1246" s="48"/>
      <c r="K1246" s="48"/>
      <c r="L1246" s="48"/>
      <c r="M1246" s="48"/>
      <c r="N1246" s="48"/>
      <c r="O1246" s="50"/>
      <c r="P1246" s="52"/>
    </row>
    <row r="1247" spans="1:16" ht="15">
      <c r="A1247" s="49" t="s">
        <v>3435</v>
      </c>
      <c r="B1247" s="7" t="s">
        <v>3436</v>
      </c>
      <c r="C1247" s="51" t="s">
        <v>3437</v>
      </c>
      <c r="D1247" s="49" t="s">
        <v>2128</v>
      </c>
      <c r="E1247" s="47" t="s">
        <v>2431</v>
      </c>
      <c r="F1247" s="47" t="s">
        <v>3856</v>
      </c>
      <c r="G1247" s="47"/>
      <c r="H1247" s="47" t="s">
        <v>2164</v>
      </c>
      <c r="I1247" s="47" t="s">
        <v>2124</v>
      </c>
      <c r="J1247" s="47"/>
      <c r="K1247" s="47"/>
      <c r="L1247" s="47" t="s">
        <v>2130</v>
      </c>
      <c r="M1247" s="47">
        <v>2</v>
      </c>
      <c r="N1247" s="47" t="s">
        <v>2144</v>
      </c>
      <c r="O1247" s="49"/>
      <c r="P1247" s="51"/>
    </row>
    <row r="1248" spans="1:16" ht="15.75" thickBot="1">
      <c r="A1248" s="50"/>
      <c r="B1248" s="10" t="s">
        <v>5</v>
      </c>
      <c r="C1248" s="52"/>
      <c r="D1248" s="50"/>
      <c r="E1248" s="48"/>
      <c r="F1248" s="48"/>
      <c r="G1248" s="48"/>
      <c r="H1248" s="48"/>
      <c r="I1248" s="48"/>
      <c r="J1248" s="48"/>
      <c r="K1248" s="48"/>
      <c r="L1248" s="48"/>
      <c r="M1248" s="48"/>
      <c r="N1248" s="48"/>
      <c r="O1248" s="50"/>
      <c r="P1248" s="52"/>
    </row>
    <row r="1249" spans="1:16" ht="15">
      <c r="A1249" s="5" t="s">
        <v>3438</v>
      </c>
      <c r="B1249" s="7" t="s">
        <v>3440</v>
      </c>
      <c r="C1249" s="51"/>
      <c r="D1249" s="49" t="s">
        <v>3859</v>
      </c>
      <c r="E1249" s="47">
        <v>11</v>
      </c>
      <c r="F1249" s="47" t="s">
        <v>3441</v>
      </c>
      <c r="G1249" s="47"/>
      <c r="H1249" s="47" t="s">
        <v>2129</v>
      </c>
      <c r="I1249" s="47" t="s">
        <v>2124</v>
      </c>
      <c r="J1249" s="47"/>
      <c r="K1249" s="47" t="s">
        <v>2533</v>
      </c>
      <c r="L1249" s="47" t="s">
        <v>2198</v>
      </c>
      <c r="M1249" s="47">
        <v>1</v>
      </c>
      <c r="N1249" s="47"/>
      <c r="O1249" s="49"/>
      <c r="P1249" s="51"/>
    </row>
    <row r="1250" spans="1:16" ht="15.75" thickBot="1">
      <c r="A1250" s="6" t="s">
        <v>3439</v>
      </c>
      <c r="B1250" s="10" t="s">
        <v>5</v>
      </c>
      <c r="C1250" s="52"/>
      <c r="D1250" s="50"/>
      <c r="E1250" s="48"/>
      <c r="F1250" s="48"/>
      <c r="G1250" s="48"/>
      <c r="H1250" s="48"/>
      <c r="I1250" s="48"/>
      <c r="J1250" s="48"/>
      <c r="K1250" s="48"/>
      <c r="L1250" s="48"/>
      <c r="M1250" s="48"/>
      <c r="N1250" s="48"/>
      <c r="O1250" s="50"/>
      <c r="P1250" s="52"/>
    </row>
    <row r="1251" spans="1:16" ht="15.75" thickBot="1">
      <c r="A1251" s="21" t="s">
        <v>3442</v>
      </c>
      <c r="B1251" s="22" t="s">
        <v>3443</v>
      </c>
      <c r="C1251" s="23" t="s">
        <v>3444</v>
      </c>
      <c r="D1251" s="22" t="s">
        <v>2128</v>
      </c>
      <c r="E1251" s="43" t="s">
        <v>1890</v>
      </c>
      <c r="F1251" s="43"/>
      <c r="G1251" s="43"/>
      <c r="H1251" s="43" t="s">
        <v>2718</v>
      </c>
      <c r="I1251" s="43" t="s">
        <v>2124</v>
      </c>
      <c r="J1251" s="43"/>
      <c r="K1251" s="43"/>
      <c r="L1251" s="43" t="s">
        <v>2165</v>
      </c>
      <c r="M1251" s="43">
        <v>3</v>
      </c>
      <c r="N1251" s="43"/>
      <c r="O1251" s="22"/>
      <c r="P1251" s="35" t="str">
        <f>HYPERLINK("http://biade.itrust.de/biade/lpext.dll?f=id&amp;id=biadb%3Ar%3A011170&amp;t=main-h.htm","11170")</f>
        <v>11170</v>
      </c>
    </row>
    <row r="1252" spans="1:16" ht="15.75" thickBot="1">
      <c r="A1252" s="6" t="s">
        <v>3445</v>
      </c>
      <c r="B1252" s="18" t="s">
        <v>1060</v>
      </c>
      <c r="C1252" s="11" t="s">
        <v>3446</v>
      </c>
      <c r="D1252" s="10" t="s">
        <v>1229</v>
      </c>
      <c r="E1252" s="38" t="s">
        <v>1996</v>
      </c>
      <c r="F1252" s="38" t="s">
        <v>879</v>
      </c>
      <c r="G1252" s="38"/>
      <c r="H1252" s="38" t="s">
        <v>3220</v>
      </c>
      <c r="I1252" s="38" t="s">
        <v>2124</v>
      </c>
      <c r="J1252" s="38"/>
      <c r="K1252" s="38" t="s">
        <v>2157</v>
      </c>
      <c r="L1252" s="38" t="s">
        <v>2165</v>
      </c>
      <c r="M1252" s="38">
        <v>2</v>
      </c>
      <c r="N1252" s="38" t="s">
        <v>3993</v>
      </c>
      <c r="O1252" s="10"/>
      <c r="P1252" s="25" t="str">
        <f>HYPERLINK("http://biade.itrust.de/biade/lpext.dll?f=id&amp;id=biadb%3Ar%3A015020&amp;t=main-h.htm","15020")</f>
        <v>15020</v>
      </c>
    </row>
    <row r="1253" spans="1:16" ht="15.75" thickBot="1">
      <c r="A1253" s="6" t="s">
        <v>3447</v>
      </c>
      <c r="B1253" s="18" t="s">
        <v>3448</v>
      </c>
      <c r="C1253" s="11" t="s">
        <v>3449</v>
      </c>
      <c r="D1253" s="10" t="s">
        <v>1229</v>
      </c>
      <c r="E1253" s="38" t="s">
        <v>1996</v>
      </c>
      <c r="F1253" s="38" t="s">
        <v>879</v>
      </c>
      <c r="G1253" s="38"/>
      <c r="H1253" s="38" t="s">
        <v>3220</v>
      </c>
      <c r="I1253" s="38" t="s">
        <v>2124</v>
      </c>
      <c r="J1253" s="38"/>
      <c r="K1253" s="38" t="s">
        <v>2157</v>
      </c>
      <c r="L1253" s="38" t="s">
        <v>2130</v>
      </c>
      <c r="M1253" s="38">
        <v>2</v>
      </c>
      <c r="N1253" s="38" t="s">
        <v>3993</v>
      </c>
      <c r="O1253" s="10"/>
      <c r="P1253" s="25" t="str">
        <f>HYPERLINK("http://biade.itrust.de/biade/lpext.dll?f=id&amp;id=biadb%3Ar%3A018180&amp;t=main-h.htm","18180")</f>
        <v>18180</v>
      </c>
    </row>
    <row r="1254" spans="1:16" ht="15.75" thickBot="1">
      <c r="A1254" s="6" t="s">
        <v>3450</v>
      </c>
      <c r="B1254" s="18" t="s">
        <v>1061</v>
      </c>
      <c r="C1254" s="11" t="s">
        <v>3451</v>
      </c>
      <c r="D1254" s="10" t="s">
        <v>1229</v>
      </c>
      <c r="E1254" s="38" t="s">
        <v>1996</v>
      </c>
      <c r="F1254" s="38" t="s">
        <v>879</v>
      </c>
      <c r="G1254" s="38" t="s">
        <v>2183</v>
      </c>
      <c r="H1254" s="38" t="s">
        <v>3220</v>
      </c>
      <c r="I1254" s="38" t="s">
        <v>2124</v>
      </c>
      <c r="J1254" s="38"/>
      <c r="K1254" s="38" t="s">
        <v>2157</v>
      </c>
      <c r="L1254" s="38" t="s">
        <v>2130</v>
      </c>
      <c r="M1254" s="38">
        <v>2</v>
      </c>
      <c r="N1254" s="38"/>
      <c r="O1254" s="10"/>
      <c r="P1254" s="25" t="str">
        <f>HYPERLINK("http://biade.itrust.de/biade/lpext.dll?f=id&amp;id=biadb%3Ar%3A017030&amp;t=main-h.htm","17030")</f>
        <v>17030</v>
      </c>
    </row>
    <row r="1255" spans="1:16" ht="15.75" thickBot="1">
      <c r="A1255" s="6" t="s">
        <v>3452</v>
      </c>
      <c r="B1255" s="10" t="s">
        <v>2121</v>
      </c>
      <c r="C1255" s="11" t="s">
        <v>3453</v>
      </c>
      <c r="D1255" s="10"/>
      <c r="E1255" s="38"/>
      <c r="F1255" s="38" t="s">
        <v>4026</v>
      </c>
      <c r="G1255" s="38"/>
      <c r="H1255" s="38" t="s">
        <v>2123</v>
      </c>
      <c r="I1255" s="38" t="s">
        <v>2124</v>
      </c>
      <c r="J1255" s="38"/>
      <c r="K1255" s="38"/>
      <c r="L1255" s="38" t="s">
        <v>2125</v>
      </c>
      <c r="M1255" s="38">
        <v>2</v>
      </c>
      <c r="N1255" s="38"/>
      <c r="O1255" s="10"/>
      <c r="P1255" s="11"/>
    </row>
    <row r="1256" spans="1:16" ht="22.5" customHeight="1">
      <c r="A1256" s="49" t="s">
        <v>3454</v>
      </c>
      <c r="B1256" s="49"/>
      <c r="C1256" s="51" t="s">
        <v>3455</v>
      </c>
      <c r="D1256" s="49" t="s">
        <v>2152</v>
      </c>
      <c r="E1256" s="47" t="s">
        <v>3456</v>
      </c>
      <c r="F1256" s="47" t="s">
        <v>879</v>
      </c>
      <c r="G1256" s="47" t="s">
        <v>3457</v>
      </c>
      <c r="H1256" s="47" t="s">
        <v>3220</v>
      </c>
      <c r="I1256" s="39">
        <v>1</v>
      </c>
      <c r="J1256" s="47">
        <v>2</v>
      </c>
      <c r="K1256" s="47" t="s">
        <v>2189</v>
      </c>
      <c r="L1256" s="47" t="s">
        <v>2130</v>
      </c>
      <c r="M1256" s="47">
        <v>2</v>
      </c>
      <c r="N1256" s="47"/>
      <c r="O1256" s="49"/>
      <c r="P1256" s="51"/>
    </row>
    <row r="1257" spans="1:16" ht="15.75" thickBot="1">
      <c r="A1257" s="50"/>
      <c r="B1257" s="50"/>
      <c r="C1257" s="52"/>
      <c r="D1257" s="50"/>
      <c r="E1257" s="48"/>
      <c r="F1257" s="48"/>
      <c r="G1257" s="48"/>
      <c r="H1257" s="48"/>
      <c r="I1257" s="38" t="s">
        <v>2124</v>
      </c>
      <c r="J1257" s="48"/>
      <c r="K1257" s="48"/>
      <c r="L1257" s="48"/>
      <c r="M1257" s="48"/>
      <c r="N1257" s="48"/>
      <c r="O1257" s="50"/>
      <c r="P1257" s="52"/>
    </row>
    <row r="1258" spans="1:16" ht="26.25" thickBot="1">
      <c r="A1258" s="6" t="s">
        <v>3458</v>
      </c>
      <c r="B1258" s="10" t="s">
        <v>1059</v>
      </c>
      <c r="C1258" s="11" t="s">
        <v>3459</v>
      </c>
      <c r="D1258" s="10" t="s">
        <v>2193</v>
      </c>
      <c r="E1258" s="38">
        <v>3</v>
      </c>
      <c r="F1258" s="38">
        <v>35</v>
      </c>
      <c r="G1258" s="38"/>
      <c r="H1258" s="38" t="s">
        <v>3460</v>
      </c>
      <c r="I1258" s="38" t="s">
        <v>2124</v>
      </c>
      <c r="J1258" s="38"/>
      <c r="K1258" s="38" t="s">
        <v>2187</v>
      </c>
      <c r="L1258" s="38" t="s">
        <v>2200</v>
      </c>
      <c r="M1258" s="38"/>
      <c r="N1258" s="38"/>
      <c r="O1258" s="10"/>
      <c r="P1258" s="25" t="str">
        <f>HYPERLINK("http://biade.itrust.de/biade/lpext.dll?f=id&amp;id=biadb%3Ar%3A496705&amp;t=main-h.htm","496705")</f>
        <v>496705</v>
      </c>
    </row>
    <row r="1259" spans="1:16" ht="51" customHeight="1">
      <c r="A1259" s="49" t="s">
        <v>3458</v>
      </c>
      <c r="B1259" s="7" t="s">
        <v>3461</v>
      </c>
      <c r="C1259" s="51" t="s">
        <v>3459</v>
      </c>
      <c r="D1259" s="49" t="s">
        <v>3859</v>
      </c>
      <c r="E1259" s="47">
        <v>11</v>
      </c>
      <c r="F1259" s="47" t="s">
        <v>3463</v>
      </c>
      <c r="G1259" s="47"/>
      <c r="H1259" s="47" t="s">
        <v>2164</v>
      </c>
      <c r="I1259" s="47" t="s">
        <v>2124</v>
      </c>
      <c r="J1259" s="47"/>
      <c r="K1259" s="47"/>
      <c r="L1259" s="47" t="s">
        <v>2200</v>
      </c>
      <c r="M1259" s="47"/>
      <c r="N1259" s="47"/>
      <c r="O1259" s="49"/>
      <c r="P1259" s="51"/>
    </row>
    <row r="1260" spans="1:16" ht="15.75" thickBot="1">
      <c r="A1260" s="50"/>
      <c r="B1260" s="10" t="s">
        <v>3462</v>
      </c>
      <c r="C1260" s="52"/>
      <c r="D1260" s="50"/>
      <c r="E1260" s="48"/>
      <c r="F1260" s="48"/>
      <c r="G1260" s="48"/>
      <c r="H1260" s="48"/>
      <c r="I1260" s="48"/>
      <c r="J1260" s="48"/>
      <c r="K1260" s="48"/>
      <c r="L1260" s="48"/>
      <c r="M1260" s="48"/>
      <c r="N1260" s="48"/>
      <c r="O1260" s="50"/>
      <c r="P1260" s="52"/>
    </row>
    <row r="1261" spans="1:16" ht="15">
      <c r="A1261" s="49" t="s">
        <v>3464</v>
      </c>
      <c r="B1261" s="49"/>
      <c r="C1261" s="51" t="s">
        <v>3465</v>
      </c>
      <c r="D1261" s="49" t="s">
        <v>2128</v>
      </c>
      <c r="E1261" s="47" t="s">
        <v>3466</v>
      </c>
      <c r="F1261" s="47" t="s">
        <v>3467</v>
      </c>
      <c r="G1261" s="47" t="s">
        <v>2183</v>
      </c>
      <c r="H1261" s="47" t="s">
        <v>2164</v>
      </c>
      <c r="I1261" s="39">
        <v>310</v>
      </c>
      <c r="J1261" s="47">
        <v>4</v>
      </c>
      <c r="K1261" s="47" t="s">
        <v>2188</v>
      </c>
      <c r="L1261" s="47" t="s">
        <v>2130</v>
      </c>
      <c r="M1261" s="47">
        <v>2</v>
      </c>
      <c r="N1261" s="47" t="s">
        <v>3014</v>
      </c>
      <c r="O1261" s="49"/>
      <c r="P1261" s="51"/>
    </row>
    <row r="1262" spans="1:16" ht="15.75" thickBot="1">
      <c r="A1262" s="50"/>
      <c r="B1262" s="50"/>
      <c r="C1262" s="52"/>
      <c r="D1262" s="50"/>
      <c r="E1262" s="48"/>
      <c r="F1262" s="48"/>
      <c r="G1262" s="48"/>
      <c r="H1262" s="48"/>
      <c r="I1262" s="38">
        <v>100</v>
      </c>
      <c r="J1262" s="48"/>
      <c r="K1262" s="48"/>
      <c r="L1262" s="48"/>
      <c r="M1262" s="48"/>
      <c r="N1262" s="48"/>
      <c r="O1262" s="50"/>
      <c r="P1262" s="52"/>
    </row>
    <row r="1263" spans="1:16" ht="15.75" thickBot="1">
      <c r="A1263" s="6" t="s">
        <v>3468</v>
      </c>
      <c r="B1263" s="10"/>
      <c r="C1263" s="11" t="s">
        <v>3469</v>
      </c>
      <c r="D1263" s="10" t="s">
        <v>2128</v>
      </c>
      <c r="E1263" s="38" t="s">
        <v>3470</v>
      </c>
      <c r="F1263" s="38">
        <v>41</v>
      </c>
      <c r="G1263" s="38" t="s">
        <v>2183</v>
      </c>
      <c r="H1263" s="38" t="s">
        <v>2164</v>
      </c>
      <c r="I1263" s="38" t="s">
        <v>2124</v>
      </c>
      <c r="J1263" s="38"/>
      <c r="K1263" s="38" t="s">
        <v>2533</v>
      </c>
      <c r="L1263" s="38" t="s">
        <v>2130</v>
      </c>
      <c r="M1263" s="38">
        <v>2</v>
      </c>
      <c r="N1263" s="38" t="s">
        <v>3014</v>
      </c>
      <c r="O1263" s="10"/>
      <c r="P1263" s="25" t="str">
        <f>HYPERLINK("http://biade.itrust.de/biade/lpext.dll?f=id&amp;id=biadb%3Ar%3A038500&amp;t=main-h.htm","38500")</f>
        <v>38500</v>
      </c>
    </row>
    <row r="1264" spans="1:16" ht="15.75" thickBot="1">
      <c r="A1264" s="6" t="s">
        <v>3471</v>
      </c>
      <c r="B1264" s="10"/>
      <c r="C1264" s="11" t="s">
        <v>3472</v>
      </c>
      <c r="D1264" s="10" t="s">
        <v>3961</v>
      </c>
      <c r="E1264" s="38" t="s">
        <v>3473</v>
      </c>
      <c r="F1264" s="38" t="s">
        <v>3474</v>
      </c>
      <c r="G1264" s="38"/>
      <c r="H1264" s="38" t="s">
        <v>2164</v>
      </c>
      <c r="I1264" s="38" t="s">
        <v>2124</v>
      </c>
      <c r="J1264" s="38"/>
      <c r="K1264" s="38" t="s">
        <v>2188</v>
      </c>
      <c r="L1264" s="38" t="s">
        <v>2165</v>
      </c>
      <c r="M1264" s="38">
        <v>2</v>
      </c>
      <c r="N1264" s="38" t="s">
        <v>3475</v>
      </c>
      <c r="O1264" s="10"/>
      <c r="P1264" s="25" t="str">
        <f>HYPERLINK("http://biade.itrust.de/biade/lpext.dll?f=id&amp;id=biadb%3Ar%3A015100&amp;t=main-h.htm","15100")</f>
        <v>15100</v>
      </c>
    </row>
    <row r="1265" spans="1:16" ht="15.75" thickBot="1">
      <c r="A1265" s="6" t="s">
        <v>3476</v>
      </c>
      <c r="B1265" s="10"/>
      <c r="C1265" s="11" t="s">
        <v>3477</v>
      </c>
      <c r="D1265" s="10" t="s">
        <v>2152</v>
      </c>
      <c r="E1265" s="38" t="s">
        <v>3478</v>
      </c>
      <c r="F1265" s="38" t="s">
        <v>2615</v>
      </c>
      <c r="G1265" s="38" t="s">
        <v>2180</v>
      </c>
      <c r="H1265" s="38" t="s">
        <v>105</v>
      </c>
      <c r="I1265" s="38" t="s">
        <v>2124</v>
      </c>
      <c r="J1265" s="38"/>
      <c r="K1265" s="38" t="s">
        <v>2189</v>
      </c>
      <c r="L1265" s="38" t="s">
        <v>2130</v>
      </c>
      <c r="M1265" s="38">
        <v>2</v>
      </c>
      <c r="N1265" s="38"/>
      <c r="O1265" s="10"/>
      <c r="P1265" s="25" t="str">
        <f>HYPERLINK("http://biade.itrust.de/biade/lpext.dll?f=id&amp;id=biadb%3Ar%3A018710&amp;t=main-h.htm","18710")</f>
        <v>18710</v>
      </c>
    </row>
    <row r="1266" spans="1:16" ht="15" customHeight="1">
      <c r="A1266" s="49" t="s">
        <v>3479</v>
      </c>
      <c r="B1266" s="26" t="s">
        <v>1057</v>
      </c>
      <c r="C1266" s="51" t="s">
        <v>3480</v>
      </c>
      <c r="D1266" s="49" t="s">
        <v>2134</v>
      </c>
      <c r="E1266" s="47">
        <v>38</v>
      </c>
      <c r="F1266" s="47"/>
      <c r="G1266" s="47"/>
      <c r="H1266" s="47" t="s">
        <v>2164</v>
      </c>
      <c r="I1266" s="47" t="s">
        <v>2124</v>
      </c>
      <c r="J1266" s="47"/>
      <c r="K1266" s="47"/>
      <c r="L1266" s="47" t="s">
        <v>2165</v>
      </c>
      <c r="M1266" s="47">
        <v>1</v>
      </c>
      <c r="N1266" s="47"/>
      <c r="O1266" s="49"/>
      <c r="P1266" s="51"/>
    </row>
    <row r="1267" spans="1:16" ht="15.75" thickBot="1">
      <c r="A1267" s="50"/>
      <c r="B1267" s="10" t="s">
        <v>1262</v>
      </c>
      <c r="C1267" s="52"/>
      <c r="D1267" s="50"/>
      <c r="E1267" s="48"/>
      <c r="F1267" s="48"/>
      <c r="G1267" s="48"/>
      <c r="H1267" s="48"/>
      <c r="I1267" s="48"/>
      <c r="J1267" s="48"/>
      <c r="K1267" s="48"/>
      <c r="L1267" s="48"/>
      <c r="M1267" s="48"/>
      <c r="N1267" s="48"/>
      <c r="O1267" s="50"/>
      <c r="P1267" s="52"/>
    </row>
    <row r="1268" spans="1:16" ht="15.75" thickBot="1">
      <c r="A1268" s="6" t="s">
        <v>3481</v>
      </c>
      <c r="B1268" s="18" t="s">
        <v>1058</v>
      </c>
      <c r="C1268" s="11" t="s">
        <v>3482</v>
      </c>
      <c r="D1268" s="10" t="s">
        <v>2128</v>
      </c>
      <c r="E1268" s="38" t="s">
        <v>3483</v>
      </c>
      <c r="F1268" s="38" t="s">
        <v>3484</v>
      </c>
      <c r="G1268" s="38"/>
      <c r="H1268" s="38" t="s">
        <v>2164</v>
      </c>
      <c r="I1268" s="38" t="s">
        <v>2124</v>
      </c>
      <c r="J1268" s="38"/>
      <c r="K1268" s="38"/>
      <c r="L1268" s="38" t="s">
        <v>2165</v>
      </c>
      <c r="M1268" s="38">
        <v>2</v>
      </c>
      <c r="N1268" s="38" t="s">
        <v>2144</v>
      </c>
      <c r="O1268" s="10"/>
      <c r="P1268" s="25" t="str">
        <f>HYPERLINK("http://biade.itrust.de/biade/lpext.dll?f=id&amp;id=biadb%3Ar%3A029210&amp;t=main-h.htm","29210")</f>
        <v>29210</v>
      </c>
    </row>
    <row r="1269" spans="1:16" ht="15.75" thickBot="1">
      <c r="A1269" s="6" t="s">
        <v>3485</v>
      </c>
      <c r="B1269" s="18" t="s">
        <v>1056</v>
      </c>
      <c r="C1269" s="11" t="s">
        <v>3486</v>
      </c>
      <c r="D1269" s="10" t="s">
        <v>2128</v>
      </c>
      <c r="E1269" s="38" t="s">
        <v>3487</v>
      </c>
      <c r="F1269" s="38">
        <v>28</v>
      </c>
      <c r="G1269" s="38"/>
      <c r="H1269" s="38" t="s">
        <v>2164</v>
      </c>
      <c r="I1269" s="38" t="s">
        <v>2124</v>
      </c>
      <c r="J1269" s="38"/>
      <c r="K1269" s="38"/>
      <c r="L1269" s="38" t="s">
        <v>2165</v>
      </c>
      <c r="M1269" s="38">
        <v>2</v>
      </c>
      <c r="N1269" s="38" t="s">
        <v>2144</v>
      </c>
      <c r="O1269" s="10"/>
      <c r="P1269" s="25" t="str">
        <f>HYPERLINK("http://biade.itrust.de/biade/lpext.dll?f=id&amp;id=biadb%3Ar%3A011160&amp;t=main-h.htm","11160")</f>
        <v>11160</v>
      </c>
    </row>
    <row r="1270" spans="1:16" ht="15.75" thickBot="1">
      <c r="A1270" s="6" t="s">
        <v>998</v>
      </c>
      <c r="B1270" s="10" t="s">
        <v>3488</v>
      </c>
      <c r="C1270" s="11" t="s">
        <v>3489</v>
      </c>
      <c r="D1270" s="10" t="s">
        <v>828</v>
      </c>
      <c r="E1270" s="38" t="s">
        <v>3490</v>
      </c>
      <c r="F1270" s="38" t="s">
        <v>2615</v>
      </c>
      <c r="G1270" s="38" t="s">
        <v>894</v>
      </c>
      <c r="H1270" s="38" t="s">
        <v>2185</v>
      </c>
      <c r="I1270" s="38" t="s">
        <v>2124</v>
      </c>
      <c r="J1270" s="38"/>
      <c r="K1270" s="38" t="s">
        <v>2187</v>
      </c>
      <c r="L1270" s="38" t="s">
        <v>2130</v>
      </c>
      <c r="M1270" s="38">
        <v>3</v>
      </c>
      <c r="N1270" s="38"/>
      <c r="O1270" s="10"/>
      <c r="P1270" s="25" t="str">
        <f>HYPERLINK("http://biade.itrust.de/biade/lpext.dll?f=id&amp;id=biadb%3Ar%3A034030&amp;t=main-h.htm","34030")</f>
        <v>34030</v>
      </c>
    </row>
    <row r="1271" spans="1:16" ht="15.75" thickBot="1">
      <c r="A1271" s="6" t="s">
        <v>3491</v>
      </c>
      <c r="B1271" s="10" t="s">
        <v>3492</v>
      </c>
      <c r="C1271" s="11" t="s">
        <v>3493</v>
      </c>
      <c r="D1271" s="10" t="s">
        <v>2152</v>
      </c>
      <c r="E1271" s="38" t="s">
        <v>3182</v>
      </c>
      <c r="F1271" s="38" t="s">
        <v>2615</v>
      </c>
      <c r="G1271" s="38" t="s">
        <v>894</v>
      </c>
      <c r="H1271" s="38" t="s">
        <v>2185</v>
      </c>
      <c r="I1271" s="38" t="s">
        <v>2124</v>
      </c>
      <c r="J1271" s="38"/>
      <c r="K1271" s="38" t="s">
        <v>2187</v>
      </c>
      <c r="L1271" s="38" t="s">
        <v>2165</v>
      </c>
      <c r="M1271" s="38">
        <v>3</v>
      </c>
      <c r="N1271" s="38"/>
      <c r="O1271" s="10"/>
      <c r="P1271" s="25" t="str">
        <f>HYPERLINK("http://biade.itrust.de/biade/lpext.dll?f=id&amp;id=biadb%3Ar%3A570215&amp;t=main-h.htm","570215")</f>
        <v>570215</v>
      </c>
    </row>
    <row r="1272" spans="1:16" ht="15.75" thickBot="1">
      <c r="A1272" s="17" t="s">
        <v>3494</v>
      </c>
      <c r="B1272" s="10"/>
      <c r="C1272" s="11" t="s">
        <v>3495</v>
      </c>
      <c r="D1272" s="10" t="s">
        <v>3961</v>
      </c>
      <c r="E1272" s="38" t="s">
        <v>3496</v>
      </c>
      <c r="F1272" s="38" t="s">
        <v>3497</v>
      </c>
      <c r="G1272" s="38" t="s">
        <v>3498</v>
      </c>
      <c r="H1272" s="38" t="s">
        <v>3220</v>
      </c>
      <c r="I1272" s="38" t="s">
        <v>2124</v>
      </c>
      <c r="J1272" s="38"/>
      <c r="K1272" s="38"/>
      <c r="L1272" s="38" t="s">
        <v>2165</v>
      </c>
      <c r="M1272" s="38">
        <v>2</v>
      </c>
      <c r="N1272" s="38"/>
      <c r="O1272" s="10"/>
      <c r="P1272" s="25" t="str">
        <f>HYPERLINK("http://biade.itrust.de/biade/lpext.dll?f=id&amp;id=biadb%3Ar%3A025200&amp;t=main-h.htm","25200")</f>
        <v>25200</v>
      </c>
    </row>
    <row r="1273" spans="1:16" ht="16.5" thickBot="1">
      <c r="A1273" s="6" t="s">
        <v>3499</v>
      </c>
      <c r="B1273" s="10"/>
      <c r="C1273" s="11" t="s">
        <v>3500</v>
      </c>
      <c r="D1273" s="10" t="s">
        <v>2152</v>
      </c>
      <c r="E1273" s="38" t="s">
        <v>3501</v>
      </c>
      <c r="F1273" s="38" t="s">
        <v>2615</v>
      </c>
      <c r="G1273" s="38" t="s">
        <v>3502</v>
      </c>
      <c r="H1273" s="38" t="s">
        <v>2156</v>
      </c>
      <c r="I1273" s="38" t="s">
        <v>2124</v>
      </c>
      <c r="J1273" s="38"/>
      <c r="K1273" s="38" t="s">
        <v>2189</v>
      </c>
      <c r="L1273" s="38" t="s">
        <v>2194</v>
      </c>
      <c r="M1273" s="38">
        <v>3</v>
      </c>
      <c r="N1273" s="38"/>
      <c r="O1273" s="10"/>
      <c r="P1273" s="25" t="str">
        <f>HYPERLINK("http://biade.itrust.de/biade/lpext.dll?f=id&amp;id=biadb%3Ar%3A015570&amp;t=main-h.htm","15570")</f>
        <v>15570</v>
      </c>
    </row>
    <row r="1274" spans="1:16" ht="15.75" thickBot="1">
      <c r="A1274" s="6" t="s">
        <v>3503</v>
      </c>
      <c r="B1274" s="10"/>
      <c r="C1274" s="11" t="s">
        <v>3504</v>
      </c>
      <c r="D1274" s="10" t="s">
        <v>2152</v>
      </c>
      <c r="E1274" s="38" t="s">
        <v>3505</v>
      </c>
      <c r="F1274" s="38" t="s">
        <v>3506</v>
      </c>
      <c r="G1274" s="38" t="s">
        <v>2183</v>
      </c>
      <c r="H1274" s="38" t="s">
        <v>1245</v>
      </c>
      <c r="I1274" s="38" t="s">
        <v>2124</v>
      </c>
      <c r="J1274" s="38"/>
      <c r="K1274" s="38" t="s">
        <v>2189</v>
      </c>
      <c r="L1274" s="38" t="s">
        <v>2165</v>
      </c>
      <c r="M1274" s="38">
        <v>2</v>
      </c>
      <c r="N1274" s="38"/>
      <c r="O1274" s="10"/>
      <c r="P1274" s="25" t="str">
        <f>HYPERLINK("http://biade.itrust.de/biade/lpext.dll?f=id&amp;id=biadb%3Ar%3A015590&amp;t=main-h.htm","15590")</f>
        <v>15590</v>
      </c>
    </row>
    <row r="1275" spans="1:16" ht="15.75" thickBot="1">
      <c r="A1275" s="6" t="s">
        <v>3507</v>
      </c>
      <c r="B1275" s="10" t="s">
        <v>3896</v>
      </c>
      <c r="C1275" s="11"/>
      <c r="D1275" s="10" t="s">
        <v>3778</v>
      </c>
      <c r="E1275" s="38" t="s">
        <v>3508</v>
      </c>
      <c r="F1275" s="38" t="s">
        <v>3509</v>
      </c>
      <c r="G1275" s="38"/>
      <c r="H1275" s="38" t="s">
        <v>2164</v>
      </c>
      <c r="I1275" s="38" t="s">
        <v>2124</v>
      </c>
      <c r="J1275" s="38"/>
      <c r="K1275" s="38" t="s">
        <v>2533</v>
      </c>
      <c r="L1275" s="38" t="s">
        <v>2130</v>
      </c>
      <c r="M1275" s="38" t="s">
        <v>3881</v>
      </c>
      <c r="N1275" s="38"/>
      <c r="O1275" s="10"/>
      <c r="P1275" s="11"/>
    </row>
    <row r="1276" spans="1:16" ht="15.75" thickBot="1">
      <c r="A1276" s="17" t="s">
        <v>3510</v>
      </c>
      <c r="B1276" s="10" t="s">
        <v>375</v>
      </c>
      <c r="C1276" s="11" t="s">
        <v>3511</v>
      </c>
      <c r="D1276" s="10" t="s">
        <v>2128</v>
      </c>
      <c r="E1276" s="38" t="s">
        <v>2959</v>
      </c>
      <c r="F1276" s="38" t="s">
        <v>2960</v>
      </c>
      <c r="G1276" s="38"/>
      <c r="H1276" s="38" t="s">
        <v>2164</v>
      </c>
      <c r="I1276" s="38" t="s">
        <v>2124</v>
      </c>
      <c r="J1276" s="38"/>
      <c r="K1276" s="38" t="s">
        <v>2533</v>
      </c>
      <c r="L1276" s="38" t="s">
        <v>2130</v>
      </c>
      <c r="M1276" s="38">
        <v>1</v>
      </c>
      <c r="N1276" s="38"/>
      <c r="O1276" s="10"/>
      <c r="P1276" s="25" t="str">
        <f>HYPERLINK("http://biade.itrust.de/biade/lpext.dll?f=id&amp;id=biadb%3Ar%3A029230&amp;t=main-h.htm","29230")</f>
        <v>29230</v>
      </c>
    </row>
    <row r="1277" spans="1:16" ht="27" customHeight="1">
      <c r="A1277" s="49" t="s">
        <v>3512</v>
      </c>
      <c r="B1277" s="7" t="s">
        <v>1054</v>
      </c>
      <c r="C1277" s="51"/>
      <c r="D1277" s="49" t="s">
        <v>2752</v>
      </c>
      <c r="E1277" s="47" t="s">
        <v>179</v>
      </c>
      <c r="F1277" s="47" t="s">
        <v>180</v>
      </c>
      <c r="G1277" s="47"/>
      <c r="H1277" s="47" t="s">
        <v>2164</v>
      </c>
      <c r="I1277" s="47" t="s">
        <v>2124</v>
      </c>
      <c r="J1277" s="47"/>
      <c r="K1277" s="47" t="s">
        <v>2533</v>
      </c>
      <c r="L1277" s="47" t="s">
        <v>2130</v>
      </c>
      <c r="M1277" s="47">
        <v>2</v>
      </c>
      <c r="N1277" s="47"/>
      <c r="O1277" s="49"/>
      <c r="P1277" s="51"/>
    </row>
    <row r="1278" spans="1:16" ht="15.75" thickBot="1">
      <c r="A1278" s="50"/>
      <c r="B1278" s="10" t="s">
        <v>1262</v>
      </c>
      <c r="C1278" s="52"/>
      <c r="D1278" s="50"/>
      <c r="E1278" s="48"/>
      <c r="F1278" s="48"/>
      <c r="G1278" s="48"/>
      <c r="H1278" s="48"/>
      <c r="I1278" s="48"/>
      <c r="J1278" s="48"/>
      <c r="K1278" s="48"/>
      <c r="L1278" s="48"/>
      <c r="M1278" s="48"/>
      <c r="N1278" s="48"/>
      <c r="O1278" s="50"/>
      <c r="P1278" s="52"/>
    </row>
    <row r="1279" spans="1:16" ht="15.75" thickBot="1">
      <c r="A1279" s="21" t="s">
        <v>181</v>
      </c>
      <c r="B1279" s="22" t="s">
        <v>182</v>
      </c>
      <c r="C1279" s="23"/>
      <c r="D1279" s="22" t="s">
        <v>2227</v>
      </c>
      <c r="E1279" s="43">
        <v>35</v>
      </c>
      <c r="F1279" s="43" t="s">
        <v>183</v>
      </c>
      <c r="G1279" s="43"/>
      <c r="H1279" s="43" t="s">
        <v>184</v>
      </c>
      <c r="I1279" s="43" t="s">
        <v>2124</v>
      </c>
      <c r="J1279" s="43"/>
      <c r="K1279" s="43"/>
      <c r="L1279" s="43" t="s">
        <v>2136</v>
      </c>
      <c r="M1279" s="43" t="s">
        <v>2849</v>
      </c>
      <c r="N1279" s="43"/>
      <c r="O1279" s="22"/>
      <c r="P1279" s="23"/>
    </row>
    <row r="1280" spans="1:16" ht="15">
      <c r="A1280" s="49" t="s">
        <v>185</v>
      </c>
      <c r="B1280" s="49" t="s">
        <v>186</v>
      </c>
      <c r="C1280" s="51" t="s">
        <v>187</v>
      </c>
      <c r="D1280" s="49"/>
      <c r="E1280" s="47"/>
      <c r="F1280" s="47"/>
      <c r="G1280" s="47"/>
      <c r="H1280" s="47" t="s">
        <v>2123</v>
      </c>
      <c r="I1280" s="39">
        <v>224</v>
      </c>
      <c r="J1280" s="47" t="s">
        <v>1270</v>
      </c>
      <c r="K1280" s="47"/>
      <c r="L1280" s="47" t="s">
        <v>2165</v>
      </c>
      <c r="M1280" s="47" t="s">
        <v>2221</v>
      </c>
      <c r="N1280" s="47"/>
      <c r="O1280" s="49"/>
      <c r="P1280" s="51"/>
    </row>
    <row r="1281" spans="1:16" ht="15.75" thickBot="1">
      <c r="A1281" s="50"/>
      <c r="B1281" s="50"/>
      <c r="C1281" s="52"/>
      <c r="D1281" s="50"/>
      <c r="E1281" s="48"/>
      <c r="F1281" s="48"/>
      <c r="G1281" s="48"/>
      <c r="H1281" s="48"/>
      <c r="I1281" s="38">
        <v>20</v>
      </c>
      <c r="J1281" s="48"/>
      <c r="K1281" s="48"/>
      <c r="L1281" s="48"/>
      <c r="M1281" s="48"/>
      <c r="N1281" s="48"/>
      <c r="O1281" s="50"/>
      <c r="P1281" s="52"/>
    </row>
    <row r="1282" spans="1:16" ht="26.25" thickBot="1">
      <c r="A1282" s="6" t="s">
        <v>188</v>
      </c>
      <c r="B1282" s="10" t="s">
        <v>1055</v>
      </c>
      <c r="C1282" s="11" t="s">
        <v>189</v>
      </c>
      <c r="D1282" s="10" t="s">
        <v>713</v>
      </c>
      <c r="E1282" s="38" t="s">
        <v>3549</v>
      </c>
      <c r="F1282" s="38" t="s">
        <v>3550</v>
      </c>
      <c r="G1282" s="38"/>
      <c r="H1282" s="38" t="s">
        <v>2164</v>
      </c>
      <c r="I1282" s="38" t="s">
        <v>2124</v>
      </c>
      <c r="J1282" s="38"/>
      <c r="K1282" s="38"/>
      <c r="L1282" s="38" t="s">
        <v>2165</v>
      </c>
      <c r="M1282" s="38">
        <v>2</v>
      </c>
      <c r="N1282" s="38"/>
      <c r="O1282" s="10"/>
      <c r="P1282" s="25" t="str">
        <f>HYPERLINK("http://biade.itrust.de/biade/lpext.dll?f=id&amp;id=biadb%3Ar%3A023100&amp;t=main-h.htm","23100")</f>
        <v>23100</v>
      </c>
    </row>
    <row r="1283" spans="1:16" ht="22.5" customHeight="1">
      <c r="A1283" s="53" t="s">
        <v>3551</v>
      </c>
      <c r="B1283" s="49" t="s">
        <v>1053</v>
      </c>
      <c r="C1283" s="51"/>
      <c r="D1283" s="49" t="s">
        <v>2752</v>
      </c>
      <c r="E1283" s="47" t="s">
        <v>41</v>
      </c>
      <c r="F1283" s="47" t="s">
        <v>42</v>
      </c>
      <c r="G1283" s="47"/>
      <c r="H1283" s="47" t="s">
        <v>2164</v>
      </c>
      <c r="I1283" s="39">
        <v>2400</v>
      </c>
      <c r="J1283" s="47">
        <v>2</v>
      </c>
      <c r="K1283" s="47" t="s">
        <v>2533</v>
      </c>
      <c r="L1283" s="47" t="s">
        <v>2130</v>
      </c>
      <c r="M1283" s="47">
        <v>2</v>
      </c>
      <c r="N1283" s="47"/>
      <c r="O1283" s="49"/>
      <c r="P1283" s="51"/>
    </row>
    <row r="1284" spans="1:16" ht="15.75" thickBot="1">
      <c r="A1284" s="54"/>
      <c r="B1284" s="50"/>
      <c r="C1284" s="52"/>
      <c r="D1284" s="50"/>
      <c r="E1284" s="48"/>
      <c r="F1284" s="48"/>
      <c r="G1284" s="48"/>
      <c r="H1284" s="48"/>
      <c r="I1284" s="38">
        <v>500</v>
      </c>
      <c r="J1284" s="48"/>
      <c r="K1284" s="48"/>
      <c r="L1284" s="48"/>
      <c r="M1284" s="48"/>
      <c r="N1284" s="48"/>
      <c r="O1284" s="50"/>
      <c r="P1284" s="52"/>
    </row>
    <row r="1285" spans="1:16" ht="15">
      <c r="A1285" s="53" t="s">
        <v>3552</v>
      </c>
      <c r="B1285" s="53" t="s">
        <v>3552</v>
      </c>
      <c r="C1285" s="51" t="s">
        <v>3553</v>
      </c>
      <c r="D1285" s="49" t="s">
        <v>2752</v>
      </c>
      <c r="E1285" s="47" t="s">
        <v>41</v>
      </c>
      <c r="F1285" s="47" t="s">
        <v>42</v>
      </c>
      <c r="G1285" s="47"/>
      <c r="H1285" s="47" t="s">
        <v>2164</v>
      </c>
      <c r="I1285" s="39">
        <v>2400</v>
      </c>
      <c r="J1285" s="47">
        <v>2</v>
      </c>
      <c r="K1285" s="47" t="s">
        <v>2533</v>
      </c>
      <c r="L1285" s="47" t="s">
        <v>2130</v>
      </c>
      <c r="M1285" s="47">
        <v>2</v>
      </c>
      <c r="N1285" s="47"/>
      <c r="O1285" s="49"/>
      <c r="P1285" s="51"/>
    </row>
    <row r="1286" spans="1:16" ht="15.75" thickBot="1">
      <c r="A1286" s="54"/>
      <c r="B1286" s="54"/>
      <c r="C1286" s="52"/>
      <c r="D1286" s="50"/>
      <c r="E1286" s="48"/>
      <c r="F1286" s="48"/>
      <c r="G1286" s="48"/>
      <c r="H1286" s="48"/>
      <c r="I1286" s="38">
        <v>500</v>
      </c>
      <c r="J1286" s="48"/>
      <c r="K1286" s="48"/>
      <c r="L1286" s="48"/>
      <c r="M1286" s="48"/>
      <c r="N1286" s="48"/>
      <c r="O1286" s="50"/>
      <c r="P1286" s="52"/>
    </row>
    <row r="1287" spans="1:16" ht="15">
      <c r="A1287" s="49" t="s">
        <v>3554</v>
      </c>
      <c r="B1287" s="49" t="s">
        <v>3555</v>
      </c>
      <c r="C1287" s="51" t="s">
        <v>3556</v>
      </c>
      <c r="D1287" s="49" t="s">
        <v>2134</v>
      </c>
      <c r="E1287" s="47">
        <v>36</v>
      </c>
      <c r="F1287" s="47">
        <v>26</v>
      </c>
      <c r="G1287" s="47"/>
      <c r="H1287" s="47" t="s">
        <v>2164</v>
      </c>
      <c r="I1287" s="39">
        <v>106</v>
      </c>
      <c r="J1287" s="47">
        <v>1</v>
      </c>
      <c r="K1287" s="47" t="s">
        <v>2188</v>
      </c>
      <c r="L1287" s="47" t="s">
        <v>2130</v>
      </c>
      <c r="M1287" s="47">
        <v>1</v>
      </c>
      <c r="N1287" s="47" t="s">
        <v>1252</v>
      </c>
      <c r="O1287" s="49"/>
      <c r="P1287" s="51"/>
    </row>
    <row r="1288" spans="1:16" ht="15.75" thickBot="1">
      <c r="A1288" s="50"/>
      <c r="B1288" s="50"/>
      <c r="C1288" s="52"/>
      <c r="D1288" s="50"/>
      <c r="E1288" s="48"/>
      <c r="F1288" s="48"/>
      <c r="G1288" s="48"/>
      <c r="H1288" s="48"/>
      <c r="I1288" s="38">
        <v>20</v>
      </c>
      <c r="J1288" s="48"/>
      <c r="K1288" s="48"/>
      <c r="L1288" s="48"/>
      <c r="M1288" s="48"/>
      <c r="N1288" s="48"/>
      <c r="O1288" s="50"/>
      <c r="P1288" s="52"/>
    </row>
    <row r="1289" spans="1:16" ht="15">
      <c r="A1289" s="53" t="s">
        <v>3557</v>
      </c>
      <c r="B1289" s="7" t="s">
        <v>1052</v>
      </c>
      <c r="C1289" s="51" t="s">
        <v>3558</v>
      </c>
      <c r="D1289" s="49" t="s">
        <v>2227</v>
      </c>
      <c r="E1289" s="47">
        <v>34</v>
      </c>
      <c r="F1289" s="47" t="s">
        <v>3884</v>
      </c>
      <c r="G1289" s="47"/>
      <c r="H1289" s="47" t="s">
        <v>2164</v>
      </c>
      <c r="I1289" s="47" t="s">
        <v>2124</v>
      </c>
      <c r="J1289" s="47"/>
      <c r="K1289" s="47"/>
      <c r="L1289" s="47" t="s">
        <v>2130</v>
      </c>
      <c r="M1289" s="47">
        <v>1</v>
      </c>
      <c r="N1289" s="47" t="s">
        <v>3792</v>
      </c>
      <c r="O1289" s="49"/>
      <c r="P1289" s="51"/>
    </row>
    <row r="1290" spans="1:16" ht="15.75" thickBot="1">
      <c r="A1290" s="54"/>
      <c r="B1290" s="10" t="s">
        <v>1262</v>
      </c>
      <c r="C1290" s="52"/>
      <c r="D1290" s="50"/>
      <c r="E1290" s="48"/>
      <c r="F1290" s="48"/>
      <c r="G1290" s="48"/>
      <c r="H1290" s="48"/>
      <c r="I1290" s="48"/>
      <c r="J1290" s="48"/>
      <c r="K1290" s="48"/>
      <c r="L1290" s="48"/>
      <c r="M1290" s="48"/>
      <c r="N1290" s="48"/>
      <c r="O1290" s="50"/>
      <c r="P1290" s="52"/>
    </row>
    <row r="1291" spans="1:16" ht="15.75" thickBot="1">
      <c r="A1291" s="6" t="s">
        <v>3559</v>
      </c>
      <c r="B1291" s="10" t="s">
        <v>3560</v>
      </c>
      <c r="C1291" s="11" t="s">
        <v>3561</v>
      </c>
      <c r="D1291" s="10" t="s">
        <v>2752</v>
      </c>
      <c r="E1291" s="38" t="s">
        <v>3562</v>
      </c>
      <c r="F1291" s="38" t="s">
        <v>3563</v>
      </c>
      <c r="G1291" s="38"/>
      <c r="H1291" s="38" t="s">
        <v>2164</v>
      </c>
      <c r="I1291" s="38" t="s">
        <v>2124</v>
      </c>
      <c r="J1291" s="38"/>
      <c r="K1291" s="38" t="s">
        <v>2533</v>
      </c>
      <c r="L1291" s="38" t="s">
        <v>2130</v>
      </c>
      <c r="M1291" s="38">
        <v>1</v>
      </c>
      <c r="N1291" s="38"/>
      <c r="O1291" s="10"/>
      <c r="P1291" s="25" t="str">
        <f>HYPERLINK("http://biade.itrust.de/biade/lpext.dll?f=id&amp;id=biadb%3Ar%3A013540&amp;t=main-h.htm","13540")</f>
        <v>13540</v>
      </c>
    </row>
    <row r="1292" spans="1:16" ht="15.75" thickBot="1">
      <c r="A1292" s="6" t="s">
        <v>3564</v>
      </c>
      <c r="B1292" s="10" t="s">
        <v>3565</v>
      </c>
      <c r="C1292" s="11" t="s">
        <v>3566</v>
      </c>
      <c r="D1292" s="10" t="s">
        <v>2227</v>
      </c>
      <c r="E1292" s="38" t="s">
        <v>3567</v>
      </c>
      <c r="F1292" s="38" t="s">
        <v>3568</v>
      </c>
      <c r="G1292" s="38"/>
      <c r="H1292" s="38" t="s">
        <v>3220</v>
      </c>
      <c r="I1292" s="38" t="s">
        <v>2124</v>
      </c>
      <c r="J1292" s="38"/>
      <c r="K1292" s="38" t="s">
        <v>2188</v>
      </c>
      <c r="L1292" s="38" t="s">
        <v>2136</v>
      </c>
      <c r="M1292" s="38">
        <v>1</v>
      </c>
      <c r="N1292" s="38"/>
      <c r="O1292" s="10"/>
      <c r="P1292" s="25" t="str">
        <f>HYPERLINK("http://biade.itrust.de/biade/lpext.dll?f=id&amp;id=biadb%3Ar%3A520023&amp;t=main-h.htm","520023")</f>
        <v>520023</v>
      </c>
    </row>
    <row r="1293" spans="1:16" ht="15.75" thickBot="1">
      <c r="A1293" s="6" t="s">
        <v>3569</v>
      </c>
      <c r="B1293" s="10" t="s">
        <v>2121</v>
      </c>
      <c r="C1293" s="11" t="s">
        <v>3570</v>
      </c>
      <c r="D1293" s="10"/>
      <c r="E1293" s="38"/>
      <c r="F1293" s="38"/>
      <c r="G1293" s="38"/>
      <c r="H1293" s="38" t="s">
        <v>2123</v>
      </c>
      <c r="I1293" s="38" t="s">
        <v>2124</v>
      </c>
      <c r="J1293" s="38"/>
      <c r="K1293" s="38"/>
      <c r="L1293" s="38" t="s">
        <v>2130</v>
      </c>
      <c r="M1293" s="38">
        <v>1</v>
      </c>
      <c r="N1293" s="38"/>
      <c r="O1293" s="10"/>
      <c r="P1293" s="25" t="str">
        <f>HYPERLINK("http://biade.itrust.de/biade/lpext.dll?f=id&amp;id=biadb%3Ar%3A020600&amp;t=main-h.htm","20600")</f>
        <v>20600</v>
      </c>
    </row>
    <row r="1294" spans="1:16" ht="26.25" thickBot="1">
      <c r="A1294" s="6" t="s">
        <v>3571</v>
      </c>
      <c r="B1294" s="10" t="s">
        <v>1051</v>
      </c>
      <c r="C1294" s="11" t="s">
        <v>3572</v>
      </c>
      <c r="D1294" s="10"/>
      <c r="E1294" s="38"/>
      <c r="F1294" s="38"/>
      <c r="G1294" s="38"/>
      <c r="H1294" s="38" t="s">
        <v>2123</v>
      </c>
      <c r="I1294" s="38" t="s">
        <v>2124</v>
      </c>
      <c r="J1294" s="38"/>
      <c r="K1294" s="38"/>
      <c r="L1294" s="38" t="s">
        <v>2165</v>
      </c>
      <c r="M1294" s="38" t="s">
        <v>2849</v>
      </c>
      <c r="N1294" s="38"/>
      <c r="O1294" s="10"/>
      <c r="P1294" s="11"/>
    </row>
    <row r="1295" spans="1:16" ht="15">
      <c r="A1295" s="49" t="s">
        <v>3573</v>
      </c>
      <c r="B1295" s="7" t="s">
        <v>3574</v>
      </c>
      <c r="C1295" s="51" t="s">
        <v>3576</v>
      </c>
      <c r="D1295" s="49" t="s">
        <v>3901</v>
      </c>
      <c r="E1295" s="47" t="s">
        <v>3577</v>
      </c>
      <c r="F1295" s="47"/>
      <c r="G1295" s="47"/>
      <c r="H1295" s="47" t="s">
        <v>2164</v>
      </c>
      <c r="I1295" s="47" t="s">
        <v>2124</v>
      </c>
      <c r="J1295" s="47"/>
      <c r="K1295" s="47"/>
      <c r="L1295" s="47" t="s">
        <v>2165</v>
      </c>
      <c r="M1295" s="47" t="s">
        <v>2849</v>
      </c>
      <c r="N1295" s="47"/>
      <c r="O1295" s="49"/>
      <c r="P1295" s="51"/>
    </row>
    <row r="1296" spans="1:16" ht="15.75" thickBot="1">
      <c r="A1296" s="50"/>
      <c r="B1296" s="10" t="s">
        <v>3575</v>
      </c>
      <c r="C1296" s="52"/>
      <c r="D1296" s="50"/>
      <c r="E1296" s="48"/>
      <c r="F1296" s="48"/>
      <c r="G1296" s="48"/>
      <c r="H1296" s="48"/>
      <c r="I1296" s="48"/>
      <c r="J1296" s="48"/>
      <c r="K1296" s="48"/>
      <c r="L1296" s="48"/>
      <c r="M1296" s="48"/>
      <c r="N1296" s="48"/>
      <c r="O1296" s="50"/>
      <c r="P1296" s="52"/>
    </row>
    <row r="1297" spans="1:16" ht="15.75" thickBot="1">
      <c r="A1297" s="6" t="s">
        <v>3578</v>
      </c>
      <c r="B1297" s="10" t="s">
        <v>2121</v>
      </c>
      <c r="C1297" s="11" t="s">
        <v>3579</v>
      </c>
      <c r="D1297" s="10"/>
      <c r="E1297" s="38"/>
      <c r="F1297" s="38"/>
      <c r="G1297" s="38"/>
      <c r="H1297" s="38" t="s">
        <v>2123</v>
      </c>
      <c r="I1297" s="38" t="s">
        <v>2124</v>
      </c>
      <c r="J1297" s="38"/>
      <c r="K1297" s="38"/>
      <c r="L1297" s="38" t="s">
        <v>2125</v>
      </c>
      <c r="M1297" s="38">
        <v>2</v>
      </c>
      <c r="N1297" s="38"/>
      <c r="O1297" s="10"/>
      <c r="P1297" s="11"/>
    </row>
    <row r="1298" spans="1:16" ht="15.75" thickBot="1">
      <c r="A1298" s="6" t="s">
        <v>3580</v>
      </c>
      <c r="B1298" s="10"/>
      <c r="C1298" s="11" t="s">
        <v>3581</v>
      </c>
      <c r="D1298" s="10" t="s">
        <v>4010</v>
      </c>
      <c r="E1298" s="38" t="s">
        <v>3582</v>
      </c>
      <c r="F1298" s="38" t="s">
        <v>2456</v>
      </c>
      <c r="G1298" s="38"/>
      <c r="H1298" s="38" t="s">
        <v>1224</v>
      </c>
      <c r="I1298" s="38" t="s">
        <v>2124</v>
      </c>
      <c r="J1298" s="38"/>
      <c r="K1298" s="38" t="s">
        <v>2157</v>
      </c>
      <c r="L1298" s="38" t="s">
        <v>2136</v>
      </c>
      <c r="M1298" s="38"/>
      <c r="N1298" s="38"/>
      <c r="O1298" s="10"/>
      <c r="P1298" s="25" t="str">
        <f>HYPERLINK("http://biade.itrust.de/biade/lpext.dll?f=id&amp;id=biadb%3Ar%3A004280&amp;t=main-h.htm","4280")</f>
        <v>4280</v>
      </c>
    </row>
    <row r="1299" spans="1:16" ht="15.75" thickBot="1">
      <c r="A1299" s="6" t="s">
        <v>3583</v>
      </c>
      <c r="B1299" s="10" t="s">
        <v>3584</v>
      </c>
      <c r="C1299" s="11"/>
      <c r="D1299" s="10" t="s">
        <v>2128</v>
      </c>
      <c r="E1299" s="38" t="s">
        <v>4025</v>
      </c>
      <c r="F1299" s="38" t="s">
        <v>4026</v>
      </c>
      <c r="G1299" s="38"/>
      <c r="H1299" s="38" t="s">
        <v>2129</v>
      </c>
      <c r="I1299" s="38" t="s">
        <v>865</v>
      </c>
      <c r="J1299" s="38"/>
      <c r="K1299" s="38"/>
      <c r="L1299" s="38" t="s">
        <v>2130</v>
      </c>
      <c r="M1299" s="38"/>
      <c r="N1299" s="38" t="s">
        <v>2786</v>
      </c>
      <c r="O1299" s="10"/>
      <c r="P1299" s="11"/>
    </row>
    <row r="1300" spans="1:16" ht="15.75" thickBot="1">
      <c r="A1300" s="6" t="s">
        <v>1960</v>
      </c>
      <c r="B1300" s="10" t="s">
        <v>1959</v>
      </c>
      <c r="C1300" s="11" t="s">
        <v>1961</v>
      </c>
      <c r="D1300" s="10" t="s">
        <v>2128</v>
      </c>
      <c r="E1300" s="38" t="s">
        <v>2149</v>
      </c>
      <c r="F1300" s="38">
        <v>23</v>
      </c>
      <c r="G1300" s="38"/>
      <c r="H1300" s="38" t="s">
        <v>3585</v>
      </c>
      <c r="I1300" s="38" t="s">
        <v>2124</v>
      </c>
      <c r="J1300" s="38"/>
      <c r="K1300" s="38"/>
      <c r="L1300" s="38"/>
      <c r="M1300" s="38">
        <v>1</v>
      </c>
      <c r="N1300" s="38"/>
      <c r="O1300" s="10"/>
      <c r="P1300" s="25" t="str">
        <f>HYPERLINK("http://biade.itrust.de/biade/lpext.dll?f=id&amp;id=biadb%3Ar%3A038420&amp;t=main-h.htm","38420")</f>
        <v>38420</v>
      </c>
    </row>
    <row r="1301" spans="1:16" ht="15">
      <c r="A1301" s="49" t="s">
        <v>999</v>
      </c>
      <c r="B1301" s="49"/>
      <c r="C1301" s="51" t="s">
        <v>3586</v>
      </c>
      <c r="D1301" s="49" t="s">
        <v>2128</v>
      </c>
      <c r="E1301" s="47" t="s">
        <v>4025</v>
      </c>
      <c r="F1301" s="47" t="s">
        <v>4026</v>
      </c>
      <c r="G1301" s="47" t="s">
        <v>2183</v>
      </c>
      <c r="H1301" s="47" t="s">
        <v>2164</v>
      </c>
      <c r="I1301" s="39" t="s">
        <v>3991</v>
      </c>
      <c r="J1301" s="47">
        <v>1</v>
      </c>
      <c r="K1301" s="47"/>
      <c r="L1301" s="47" t="s">
        <v>2165</v>
      </c>
      <c r="M1301" s="47">
        <v>1</v>
      </c>
      <c r="N1301" s="47" t="s">
        <v>2786</v>
      </c>
      <c r="O1301" s="49"/>
      <c r="P1301" s="51"/>
    </row>
    <row r="1302" spans="1:16" ht="15.75" thickBot="1">
      <c r="A1302" s="50"/>
      <c r="B1302" s="50"/>
      <c r="C1302" s="52"/>
      <c r="D1302" s="50"/>
      <c r="E1302" s="48"/>
      <c r="F1302" s="48"/>
      <c r="G1302" s="48"/>
      <c r="H1302" s="48"/>
      <c r="I1302" s="38" t="s">
        <v>2124</v>
      </c>
      <c r="J1302" s="48"/>
      <c r="K1302" s="48"/>
      <c r="L1302" s="48"/>
      <c r="M1302" s="48"/>
      <c r="N1302" s="48"/>
      <c r="O1302" s="50"/>
      <c r="P1302" s="52"/>
    </row>
    <row r="1303" spans="1:16" ht="15.75" thickBot="1">
      <c r="A1303" s="6" t="s">
        <v>3587</v>
      </c>
      <c r="B1303" s="10"/>
      <c r="C1303" s="11" t="s">
        <v>3588</v>
      </c>
      <c r="D1303" s="10" t="s">
        <v>3589</v>
      </c>
      <c r="E1303" s="38"/>
      <c r="F1303" s="38"/>
      <c r="G1303" s="38" t="s">
        <v>2181</v>
      </c>
      <c r="H1303" s="38" t="s">
        <v>1224</v>
      </c>
      <c r="I1303" s="38" t="s">
        <v>2124</v>
      </c>
      <c r="J1303" s="38"/>
      <c r="K1303" s="38" t="s">
        <v>2187</v>
      </c>
      <c r="L1303" s="38" t="s">
        <v>2202</v>
      </c>
      <c r="M1303" s="38"/>
      <c r="N1303" s="38"/>
      <c r="O1303" s="10"/>
      <c r="P1303" s="25" t="str">
        <f>HYPERLINK("http://biade.itrust.de/biade/lpext.dll?f=id&amp;id=biadb%3Ar%3A004040&amp;t=main-h.htm","4040")</f>
        <v>4040</v>
      </c>
    </row>
    <row r="1304" spans="1:16" ht="15.75" thickBot="1">
      <c r="A1304" s="6" t="s">
        <v>3590</v>
      </c>
      <c r="B1304" s="10" t="s">
        <v>1907</v>
      </c>
      <c r="C1304" s="11" t="s">
        <v>3591</v>
      </c>
      <c r="D1304" s="10" t="s">
        <v>2134</v>
      </c>
      <c r="E1304" s="38" t="s">
        <v>3592</v>
      </c>
      <c r="F1304" s="38" t="s">
        <v>2728</v>
      </c>
      <c r="G1304" s="38" t="s">
        <v>2184</v>
      </c>
      <c r="H1304" s="38" t="s">
        <v>2164</v>
      </c>
      <c r="I1304" s="38" t="s">
        <v>2124</v>
      </c>
      <c r="J1304" s="38"/>
      <c r="K1304" s="38"/>
      <c r="L1304" s="38" t="s">
        <v>2136</v>
      </c>
      <c r="M1304" s="38">
        <v>1</v>
      </c>
      <c r="N1304" s="38" t="s">
        <v>3792</v>
      </c>
      <c r="O1304" s="10"/>
      <c r="P1304" s="25" t="str">
        <f>HYPERLINK("http://biade.itrust.de/biade/lpext.dll?f=id&amp;id=biadb%3Ar%3A002570&amp;t=main-h.htm","2570")</f>
        <v>2570</v>
      </c>
    </row>
    <row r="1305" spans="1:16" ht="15" customHeight="1">
      <c r="A1305" s="49" t="s">
        <v>3593</v>
      </c>
      <c r="B1305" s="7" t="s">
        <v>3594</v>
      </c>
      <c r="C1305" s="51" t="s">
        <v>3596</v>
      </c>
      <c r="D1305" s="49"/>
      <c r="E1305" s="47"/>
      <c r="F1305" s="47"/>
      <c r="G1305" s="47"/>
      <c r="H1305" s="47" t="s">
        <v>2123</v>
      </c>
      <c r="I1305" s="47" t="s">
        <v>2124</v>
      </c>
      <c r="J1305" s="47"/>
      <c r="K1305" s="47"/>
      <c r="L1305" s="47" t="s">
        <v>2165</v>
      </c>
      <c r="M1305" s="47" t="s">
        <v>2221</v>
      </c>
      <c r="N1305" s="47"/>
      <c r="O1305" s="49"/>
      <c r="P1305" s="51"/>
    </row>
    <row r="1306" spans="1:16" ht="15.75" thickBot="1">
      <c r="A1306" s="50"/>
      <c r="B1306" s="10" t="s">
        <v>3595</v>
      </c>
      <c r="C1306" s="52"/>
      <c r="D1306" s="50"/>
      <c r="E1306" s="48"/>
      <c r="F1306" s="48"/>
      <c r="G1306" s="48"/>
      <c r="H1306" s="48"/>
      <c r="I1306" s="48"/>
      <c r="J1306" s="48"/>
      <c r="K1306" s="48"/>
      <c r="L1306" s="48"/>
      <c r="M1306" s="48"/>
      <c r="N1306" s="48"/>
      <c r="O1306" s="50"/>
      <c r="P1306" s="52"/>
    </row>
    <row r="1307" spans="1:16" ht="15.75" thickBot="1">
      <c r="A1307" s="6" t="s">
        <v>3597</v>
      </c>
      <c r="B1307" s="10" t="s">
        <v>2121</v>
      </c>
      <c r="C1307" s="11" t="s">
        <v>3598</v>
      </c>
      <c r="D1307" s="10" t="s">
        <v>2128</v>
      </c>
      <c r="E1307" s="38" t="s">
        <v>4084</v>
      </c>
      <c r="F1307" s="38" t="s">
        <v>2725</v>
      </c>
      <c r="G1307" s="38" t="s">
        <v>3940</v>
      </c>
      <c r="H1307" s="38" t="s">
        <v>2164</v>
      </c>
      <c r="I1307" s="38" t="s">
        <v>2124</v>
      </c>
      <c r="J1307" s="38"/>
      <c r="K1307" s="38"/>
      <c r="L1307" s="38" t="s">
        <v>2125</v>
      </c>
      <c r="M1307" s="38">
        <v>1</v>
      </c>
      <c r="N1307" s="38"/>
      <c r="O1307" s="10"/>
      <c r="P1307" s="25" t="str">
        <f>HYPERLINK("http://biade.itrust.de/biade/lpext.dll?f=id&amp;id=biadb%3Ar%3A034960&amp;t=main-h.htm","34960")</f>
        <v>34960</v>
      </c>
    </row>
    <row r="1308" spans="1:16" ht="15.75" thickBot="1">
      <c r="A1308" s="6" t="s">
        <v>3599</v>
      </c>
      <c r="B1308" s="10" t="s">
        <v>2121</v>
      </c>
      <c r="C1308" s="11" t="s">
        <v>3600</v>
      </c>
      <c r="D1308" s="10"/>
      <c r="E1308" s="38"/>
      <c r="F1308" s="38"/>
      <c r="G1308" s="38"/>
      <c r="H1308" s="38" t="s">
        <v>2123</v>
      </c>
      <c r="I1308" s="38" t="s">
        <v>2124</v>
      </c>
      <c r="J1308" s="38"/>
      <c r="K1308" s="38"/>
      <c r="L1308" s="38" t="s">
        <v>2130</v>
      </c>
      <c r="M1308" s="38">
        <v>1</v>
      </c>
      <c r="N1308" s="38"/>
      <c r="O1308" s="10"/>
      <c r="P1308" s="25" t="str">
        <f>HYPERLINK("http://biade.itrust.de/biade/lpext.dll?f=id&amp;id=biadb%3Ar%3A091110&amp;t=main-h.htm","91110")</f>
        <v>91110</v>
      </c>
    </row>
    <row r="1309" spans="1:16" ht="15">
      <c r="A1309" s="49" t="s">
        <v>3601</v>
      </c>
      <c r="B1309" s="7" t="s">
        <v>3602</v>
      </c>
      <c r="C1309" s="51" t="s">
        <v>3603</v>
      </c>
      <c r="D1309" s="49" t="s">
        <v>2128</v>
      </c>
      <c r="E1309" s="47" t="s">
        <v>3604</v>
      </c>
      <c r="F1309" s="47" t="s">
        <v>3605</v>
      </c>
      <c r="G1309" s="47" t="s">
        <v>3940</v>
      </c>
      <c r="H1309" s="47" t="s">
        <v>3220</v>
      </c>
      <c r="I1309" s="47" t="s">
        <v>2124</v>
      </c>
      <c r="J1309" s="47"/>
      <c r="K1309" s="47"/>
      <c r="L1309" s="47" t="s">
        <v>2130</v>
      </c>
      <c r="M1309" s="47">
        <v>2</v>
      </c>
      <c r="N1309" s="47"/>
      <c r="O1309" s="49"/>
      <c r="P1309" s="51"/>
    </row>
    <row r="1310" spans="1:16" ht="15.75" thickBot="1">
      <c r="A1310" s="50"/>
      <c r="B1310" s="10" t="s">
        <v>1262</v>
      </c>
      <c r="C1310" s="52"/>
      <c r="D1310" s="50"/>
      <c r="E1310" s="48"/>
      <c r="F1310" s="48"/>
      <c r="G1310" s="48"/>
      <c r="H1310" s="48"/>
      <c r="I1310" s="48"/>
      <c r="J1310" s="48"/>
      <c r="K1310" s="48"/>
      <c r="L1310" s="48"/>
      <c r="M1310" s="48"/>
      <c r="N1310" s="48"/>
      <c r="O1310" s="50"/>
      <c r="P1310" s="52"/>
    </row>
    <row r="1311" spans="1:16" ht="15.75" thickBot="1">
      <c r="A1311" s="6" t="s">
        <v>3606</v>
      </c>
      <c r="B1311" s="10" t="s">
        <v>1050</v>
      </c>
      <c r="C1311" s="11" t="s">
        <v>3607</v>
      </c>
      <c r="D1311" s="10"/>
      <c r="E1311" s="38">
        <v>10</v>
      </c>
      <c r="F1311" s="38">
        <v>29</v>
      </c>
      <c r="G1311" s="38"/>
      <c r="H1311" s="38" t="s">
        <v>502</v>
      </c>
      <c r="I1311" s="38" t="s">
        <v>2124</v>
      </c>
      <c r="J1311" s="38"/>
      <c r="K1311" s="38" t="s">
        <v>2533</v>
      </c>
      <c r="L1311" s="38" t="s">
        <v>2130</v>
      </c>
      <c r="M1311" s="38">
        <v>1</v>
      </c>
      <c r="N1311" s="38"/>
      <c r="O1311" s="10"/>
      <c r="P1311" s="25" t="str">
        <f>HYPERLINK("http://biade.itrust.de/biade/lpext.dll?f=id&amp;id=biadb%3Ar%3A031380&amp;t=main-h.htm","31380")</f>
        <v>31380</v>
      </c>
    </row>
    <row r="1312" spans="1:16" ht="22.5" customHeight="1">
      <c r="A1312" s="49" t="s">
        <v>3608</v>
      </c>
      <c r="B1312" s="49" t="s">
        <v>1049</v>
      </c>
      <c r="C1312" s="51" t="s">
        <v>3609</v>
      </c>
      <c r="D1312" s="49" t="s">
        <v>828</v>
      </c>
      <c r="E1312" s="47" t="s">
        <v>3610</v>
      </c>
      <c r="F1312" s="47" t="s">
        <v>2758</v>
      </c>
      <c r="G1312" s="47" t="s">
        <v>2183</v>
      </c>
      <c r="H1312" s="47" t="s">
        <v>601</v>
      </c>
      <c r="I1312" s="39" t="s">
        <v>3611</v>
      </c>
      <c r="J1312" s="47">
        <v>8</v>
      </c>
      <c r="K1312" s="47" t="s">
        <v>2157</v>
      </c>
      <c r="L1312" s="47" t="s">
        <v>2165</v>
      </c>
      <c r="M1312" s="47">
        <v>3</v>
      </c>
      <c r="N1312" s="47" t="s">
        <v>3612</v>
      </c>
      <c r="O1312" s="49"/>
      <c r="P1312" s="51"/>
    </row>
    <row r="1313" spans="1:16" ht="15.75" thickBot="1">
      <c r="A1313" s="50"/>
      <c r="B1313" s="50"/>
      <c r="C1313" s="52"/>
      <c r="D1313" s="50"/>
      <c r="E1313" s="48"/>
      <c r="F1313" s="48"/>
      <c r="G1313" s="48"/>
      <c r="H1313" s="48"/>
      <c r="I1313" s="38" t="s">
        <v>2124</v>
      </c>
      <c r="J1313" s="48"/>
      <c r="K1313" s="48"/>
      <c r="L1313" s="48"/>
      <c r="M1313" s="48"/>
      <c r="N1313" s="48"/>
      <c r="O1313" s="50"/>
      <c r="P1313" s="52"/>
    </row>
    <row r="1314" spans="1:16" ht="15">
      <c r="A1314" s="5" t="s">
        <v>3613</v>
      </c>
      <c r="B1314" s="7" t="s">
        <v>3615</v>
      </c>
      <c r="C1314" s="51" t="s">
        <v>3617</v>
      </c>
      <c r="D1314" s="49"/>
      <c r="E1314" s="47"/>
      <c r="F1314" s="47" t="s">
        <v>3856</v>
      </c>
      <c r="G1314" s="47"/>
      <c r="H1314" s="47" t="s">
        <v>2123</v>
      </c>
      <c r="I1314" s="47" t="s">
        <v>2124</v>
      </c>
      <c r="J1314" s="47"/>
      <c r="K1314" s="47"/>
      <c r="L1314" s="47" t="s">
        <v>2165</v>
      </c>
      <c r="M1314" s="47" t="s">
        <v>2849</v>
      </c>
      <c r="N1314" s="47"/>
      <c r="O1314" s="49"/>
      <c r="P1314" s="51"/>
    </row>
    <row r="1315" spans="1:16" ht="15.75" thickBot="1">
      <c r="A1315" s="6" t="s">
        <v>3614</v>
      </c>
      <c r="B1315" s="10" t="s">
        <v>3616</v>
      </c>
      <c r="C1315" s="52"/>
      <c r="D1315" s="50"/>
      <c r="E1315" s="48"/>
      <c r="F1315" s="48"/>
      <c r="G1315" s="48"/>
      <c r="H1315" s="48"/>
      <c r="I1315" s="48"/>
      <c r="J1315" s="48"/>
      <c r="K1315" s="48"/>
      <c r="L1315" s="48"/>
      <c r="M1315" s="48"/>
      <c r="N1315" s="48"/>
      <c r="O1315" s="50"/>
      <c r="P1315" s="52"/>
    </row>
    <row r="1316" spans="1:16" ht="16.5" thickBot="1">
      <c r="A1316" s="6" t="s">
        <v>3618</v>
      </c>
      <c r="B1316" s="10" t="s">
        <v>3619</v>
      </c>
      <c r="C1316" s="11" t="s">
        <v>3620</v>
      </c>
      <c r="D1316" s="10" t="s">
        <v>828</v>
      </c>
      <c r="E1316" s="38" t="s">
        <v>3621</v>
      </c>
      <c r="F1316" s="38" t="s">
        <v>3622</v>
      </c>
      <c r="G1316" s="38" t="s">
        <v>3623</v>
      </c>
      <c r="H1316" s="38" t="s">
        <v>1232</v>
      </c>
      <c r="I1316" s="38" t="s">
        <v>2124</v>
      </c>
      <c r="J1316" s="38"/>
      <c r="K1316" s="38" t="s">
        <v>2187</v>
      </c>
      <c r="L1316" s="38" t="s">
        <v>2194</v>
      </c>
      <c r="M1316" s="38">
        <v>3</v>
      </c>
      <c r="N1316" s="38"/>
      <c r="O1316" s="10"/>
      <c r="P1316" s="25" t="str">
        <f>HYPERLINK("http://biade.itrust.de/biade/lpext.dll?f=id&amp;id=biadb%3Ar%3A014000&amp;t=main-h.htm","14000")</f>
        <v>14000</v>
      </c>
    </row>
    <row r="1317" spans="1:16" ht="15">
      <c r="A1317" s="53" t="s">
        <v>3624</v>
      </c>
      <c r="B1317" s="49"/>
      <c r="C1317" s="51" t="s">
        <v>3625</v>
      </c>
      <c r="D1317" s="49" t="s">
        <v>648</v>
      </c>
      <c r="E1317" s="47" t="s">
        <v>649</v>
      </c>
      <c r="F1317" s="47" t="s">
        <v>650</v>
      </c>
      <c r="G1317" s="47"/>
      <c r="H1317" s="47" t="s">
        <v>501</v>
      </c>
      <c r="I1317" s="39">
        <v>3000</v>
      </c>
      <c r="J1317" s="47">
        <v>2</v>
      </c>
      <c r="K1317" s="47" t="s">
        <v>2503</v>
      </c>
      <c r="L1317" s="47" t="s">
        <v>2130</v>
      </c>
      <c r="M1317" s="47">
        <v>2</v>
      </c>
      <c r="N1317" s="47"/>
      <c r="O1317" s="49"/>
      <c r="P1317" s="51"/>
    </row>
    <row r="1318" spans="1:16" ht="15.75" thickBot="1">
      <c r="A1318" s="54"/>
      <c r="B1318" s="50"/>
      <c r="C1318" s="52"/>
      <c r="D1318" s="50"/>
      <c r="E1318" s="48"/>
      <c r="F1318" s="48"/>
      <c r="G1318" s="48"/>
      <c r="H1318" s="48"/>
      <c r="I1318" s="38">
        <v>1000</v>
      </c>
      <c r="J1318" s="48"/>
      <c r="K1318" s="48"/>
      <c r="L1318" s="48"/>
      <c r="M1318" s="48"/>
      <c r="N1318" s="48"/>
      <c r="O1318" s="50"/>
      <c r="P1318" s="52"/>
    </row>
    <row r="1319" spans="1:16" ht="15.75" thickBot="1">
      <c r="A1319" s="6" t="s">
        <v>3626</v>
      </c>
      <c r="B1319" s="10" t="s">
        <v>3627</v>
      </c>
      <c r="C1319" s="11" t="s">
        <v>3628</v>
      </c>
      <c r="D1319" s="10" t="s">
        <v>2128</v>
      </c>
      <c r="E1319" s="38" t="s">
        <v>3629</v>
      </c>
      <c r="F1319" s="38" t="s">
        <v>2557</v>
      </c>
      <c r="G1319" s="38"/>
      <c r="H1319" s="38" t="s">
        <v>2164</v>
      </c>
      <c r="I1319" s="38" t="s">
        <v>2124</v>
      </c>
      <c r="J1319" s="38"/>
      <c r="K1319" s="38"/>
      <c r="L1319" s="38" t="s">
        <v>2130</v>
      </c>
      <c r="M1319" s="38">
        <v>1</v>
      </c>
      <c r="N1319" s="38" t="s">
        <v>2144</v>
      </c>
      <c r="O1319" s="10"/>
      <c r="P1319" s="25" t="str">
        <f>HYPERLINK("http://biade.itrust.de/biade/lpext.dll?f=id&amp;id=biadb%3Ar%3A013590&amp;t=main-h.htm","13590")</f>
        <v>13590</v>
      </c>
    </row>
    <row r="1320" spans="1:16" ht="15.75" thickBot="1">
      <c r="A1320" s="6" t="s">
        <v>3630</v>
      </c>
      <c r="B1320" s="10"/>
      <c r="C1320" s="11" t="s">
        <v>3631</v>
      </c>
      <c r="D1320" s="10" t="s">
        <v>2128</v>
      </c>
      <c r="E1320" s="38" t="s">
        <v>609</v>
      </c>
      <c r="F1320" s="38">
        <v>46</v>
      </c>
      <c r="G1320" s="38"/>
      <c r="H1320" s="38" t="s">
        <v>2164</v>
      </c>
      <c r="I1320" s="38" t="s">
        <v>2124</v>
      </c>
      <c r="J1320" s="38"/>
      <c r="K1320" s="38" t="s">
        <v>2533</v>
      </c>
      <c r="L1320" s="38" t="s">
        <v>2130</v>
      </c>
      <c r="M1320" s="38">
        <v>1</v>
      </c>
      <c r="N1320" s="38" t="s">
        <v>2144</v>
      </c>
      <c r="O1320" s="10"/>
      <c r="P1320" s="25" t="str">
        <f>HYPERLINK("http://biade.itrust.de/biade/lpext.dll?f=id&amp;id=biadb%3Ar%3A510041&amp;t=main-h.htm","510041")</f>
        <v>510041</v>
      </c>
    </row>
    <row r="1321" spans="1:16" ht="15.75" thickBot="1">
      <c r="A1321" s="6" t="s">
        <v>3632</v>
      </c>
      <c r="B1321" s="10"/>
      <c r="C1321" s="11" t="s">
        <v>3633</v>
      </c>
      <c r="D1321" s="10" t="s">
        <v>2128</v>
      </c>
      <c r="E1321" s="38" t="s">
        <v>3629</v>
      </c>
      <c r="F1321" s="38" t="s">
        <v>2557</v>
      </c>
      <c r="G1321" s="38"/>
      <c r="H1321" s="38" t="s">
        <v>2164</v>
      </c>
      <c r="I1321" s="38" t="s">
        <v>2124</v>
      </c>
      <c r="J1321" s="38"/>
      <c r="K1321" s="38" t="s">
        <v>2533</v>
      </c>
      <c r="L1321" s="38" t="s">
        <v>2130</v>
      </c>
      <c r="M1321" s="38">
        <v>1</v>
      </c>
      <c r="N1321" s="38" t="s">
        <v>2144</v>
      </c>
      <c r="O1321" s="10"/>
      <c r="P1321" s="25" t="str">
        <f>HYPERLINK("http://biade.itrust.de/biade/lpext.dll?f=id&amp;id=biadb%3Ar%3A510042&amp;t=main-h.htm","510042")</f>
        <v>510042</v>
      </c>
    </row>
    <row r="1322" spans="1:16" ht="15.75" thickBot="1">
      <c r="A1322" s="6" t="s">
        <v>3634</v>
      </c>
      <c r="B1322" s="10" t="s">
        <v>1048</v>
      </c>
      <c r="C1322" s="11" t="s">
        <v>3635</v>
      </c>
      <c r="D1322" s="10" t="s">
        <v>2227</v>
      </c>
      <c r="E1322" s="38" t="s">
        <v>3636</v>
      </c>
      <c r="F1322" s="38" t="s">
        <v>3637</v>
      </c>
      <c r="G1322" s="38"/>
      <c r="H1322" s="38" t="s">
        <v>2164</v>
      </c>
      <c r="I1322" s="38" t="s">
        <v>2124</v>
      </c>
      <c r="J1322" s="38"/>
      <c r="K1322" s="38"/>
      <c r="L1322" s="38" t="s">
        <v>2130</v>
      </c>
      <c r="M1322" s="38">
        <v>1</v>
      </c>
      <c r="N1322" s="38"/>
      <c r="O1322" s="10"/>
      <c r="P1322" s="25" t="str">
        <f>HYPERLINK("http://biade.itrust.de/biade/lpext.dll?f=id&amp;id=biadb%3Ar%3A031990&amp;t=main-h.htm","31990")</f>
        <v>31990</v>
      </c>
    </row>
    <row r="1323" spans="1:16" ht="22.5" customHeight="1">
      <c r="A1323" s="49" t="s">
        <v>3638</v>
      </c>
      <c r="B1323" s="49" t="s">
        <v>1047</v>
      </c>
      <c r="C1323" s="51" t="s">
        <v>3639</v>
      </c>
      <c r="D1323" s="49"/>
      <c r="E1323" s="47" t="s">
        <v>206</v>
      </c>
      <c r="F1323" s="47" t="s">
        <v>207</v>
      </c>
      <c r="G1323" s="47"/>
      <c r="H1323" s="47" t="s">
        <v>502</v>
      </c>
      <c r="I1323" s="39">
        <v>270</v>
      </c>
      <c r="J1323" s="47">
        <v>1</v>
      </c>
      <c r="K1323" s="47" t="s">
        <v>2533</v>
      </c>
      <c r="L1323" s="47" t="s">
        <v>2130</v>
      </c>
      <c r="M1323" s="47">
        <v>1</v>
      </c>
      <c r="N1323" s="47"/>
      <c r="O1323" s="49"/>
      <c r="P1323" s="51"/>
    </row>
    <row r="1324" spans="1:16" ht="15.75" thickBot="1">
      <c r="A1324" s="50"/>
      <c r="B1324" s="50"/>
      <c r="C1324" s="52"/>
      <c r="D1324" s="50"/>
      <c r="E1324" s="48"/>
      <c r="F1324" s="48"/>
      <c r="G1324" s="48"/>
      <c r="H1324" s="48"/>
      <c r="I1324" s="38">
        <v>50</v>
      </c>
      <c r="J1324" s="48"/>
      <c r="K1324" s="48"/>
      <c r="L1324" s="48"/>
      <c r="M1324" s="48"/>
      <c r="N1324" s="48"/>
      <c r="O1324" s="50"/>
      <c r="P1324" s="52"/>
    </row>
    <row r="1325" spans="1:16" ht="15">
      <c r="A1325" s="49" t="s">
        <v>3640</v>
      </c>
      <c r="B1325" s="7" t="s">
        <v>3641</v>
      </c>
      <c r="C1325" s="51"/>
      <c r="D1325" s="49" t="s">
        <v>2128</v>
      </c>
      <c r="E1325" s="47" t="s">
        <v>3643</v>
      </c>
      <c r="F1325" s="47" t="s">
        <v>3644</v>
      </c>
      <c r="G1325" s="47"/>
      <c r="H1325" s="47" t="s">
        <v>2164</v>
      </c>
      <c r="I1325" s="47" t="s">
        <v>2124</v>
      </c>
      <c r="J1325" s="47"/>
      <c r="K1325" s="47"/>
      <c r="L1325" s="47" t="s">
        <v>2125</v>
      </c>
      <c r="M1325" s="47" t="s">
        <v>1270</v>
      </c>
      <c r="N1325" s="47"/>
      <c r="O1325" s="49"/>
      <c r="P1325" s="51"/>
    </row>
    <row r="1326" spans="1:16" ht="15.75" thickBot="1">
      <c r="A1326" s="50"/>
      <c r="B1326" s="10" t="s">
        <v>3642</v>
      </c>
      <c r="C1326" s="52"/>
      <c r="D1326" s="50"/>
      <c r="E1326" s="48"/>
      <c r="F1326" s="48"/>
      <c r="G1326" s="48"/>
      <c r="H1326" s="48"/>
      <c r="I1326" s="48"/>
      <c r="J1326" s="48"/>
      <c r="K1326" s="48"/>
      <c r="L1326" s="48"/>
      <c r="M1326" s="48"/>
      <c r="N1326" s="48"/>
      <c r="O1326" s="50"/>
      <c r="P1326" s="52"/>
    </row>
    <row r="1327" spans="1:16" ht="15.75" thickBot="1">
      <c r="A1327" s="6" t="s">
        <v>3645</v>
      </c>
      <c r="B1327" s="10"/>
      <c r="C1327" s="11" t="s">
        <v>3646</v>
      </c>
      <c r="D1327" s="10" t="s">
        <v>2134</v>
      </c>
      <c r="E1327" s="38" t="s">
        <v>3647</v>
      </c>
      <c r="F1327" s="38" t="s">
        <v>3648</v>
      </c>
      <c r="G1327" s="38" t="s">
        <v>3940</v>
      </c>
      <c r="H1327" s="38" t="s">
        <v>2164</v>
      </c>
      <c r="I1327" s="38" t="s">
        <v>2124</v>
      </c>
      <c r="J1327" s="38"/>
      <c r="K1327" s="38"/>
      <c r="L1327" s="38" t="s">
        <v>2125</v>
      </c>
      <c r="M1327" s="38"/>
      <c r="N1327" s="38"/>
      <c r="O1327" s="10"/>
      <c r="P1327" s="25" t="str">
        <f>HYPERLINK("http://biade.itrust.de/biade/lpext.dll?f=id&amp;id=biadb%3Ar%3A123175&amp;t=main-h.htm","123175")</f>
        <v>123175</v>
      </c>
    </row>
    <row r="1328" spans="1:16" ht="15">
      <c r="A1328" s="5" t="s">
        <v>3649</v>
      </c>
      <c r="B1328" s="49" t="s">
        <v>2121</v>
      </c>
      <c r="C1328" s="51" t="s">
        <v>3651</v>
      </c>
      <c r="D1328" s="49"/>
      <c r="E1328" s="47"/>
      <c r="F1328" s="47"/>
      <c r="G1328" s="47"/>
      <c r="H1328" s="47" t="s">
        <v>2123</v>
      </c>
      <c r="I1328" s="47" t="s">
        <v>2124</v>
      </c>
      <c r="J1328" s="47"/>
      <c r="K1328" s="47"/>
      <c r="L1328" s="47" t="s">
        <v>2125</v>
      </c>
      <c r="M1328" s="47">
        <v>1</v>
      </c>
      <c r="N1328" s="47"/>
      <c r="O1328" s="49"/>
      <c r="P1328" s="51"/>
    </row>
    <row r="1329" spans="1:16" ht="15.75" thickBot="1">
      <c r="A1329" s="6" t="s">
        <v>3650</v>
      </c>
      <c r="B1329" s="50"/>
      <c r="C1329" s="52"/>
      <c r="D1329" s="50"/>
      <c r="E1329" s="48"/>
      <c r="F1329" s="48"/>
      <c r="G1329" s="48"/>
      <c r="H1329" s="48"/>
      <c r="I1329" s="48"/>
      <c r="J1329" s="48"/>
      <c r="K1329" s="48"/>
      <c r="L1329" s="48"/>
      <c r="M1329" s="48"/>
      <c r="N1329" s="48"/>
      <c r="O1329" s="50"/>
      <c r="P1329" s="52"/>
    </row>
    <row r="1330" spans="1:16" ht="15.75" thickBot="1">
      <c r="A1330" s="6" t="s">
        <v>3652</v>
      </c>
      <c r="B1330" s="10"/>
      <c r="C1330" s="11" t="s">
        <v>3653</v>
      </c>
      <c r="D1330" s="10" t="s">
        <v>194</v>
      </c>
      <c r="E1330" s="38" t="s">
        <v>3654</v>
      </c>
      <c r="F1330" s="38" t="s">
        <v>3655</v>
      </c>
      <c r="G1330" s="38"/>
      <c r="H1330" s="38" t="s">
        <v>3220</v>
      </c>
      <c r="I1330" s="38" t="s">
        <v>2124</v>
      </c>
      <c r="J1330" s="38"/>
      <c r="K1330" s="38"/>
      <c r="L1330" s="38" t="s">
        <v>2216</v>
      </c>
      <c r="M1330" s="38">
        <v>1</v>
      </c>
      <c r="N1330" s="38" t="s">
        <v>3656</v>
      </c>
      <c r="O1330" s="10"/>
      <c r="P1330" s="25" t="str">
        <f>HYPERLINK("http://biade.itrust.de/biade/lpext.dll?f=id&amp;id=biadb%3Ar%3A003960&amp;t=main-h.htm","3960")</f>
        <v>3960</v>
      </c>
    </row>
    <row r="1331" spans="1:16" ht="39" thickBot="1">
      <c r="A1331" s="6" t="s">
        <v>3657</v>
      </c>
      <c r="B1331" s="10" t="s">
        <v>1046</v>
      </c>
      <c r="C1331" s="11" t="s">
        <v>3658</v>
      </c>
      <c r="D1331" s="10" t="s">
        <v>2134</v>
      </c>
      <c r="E1331" s="38" t="s">
        <v>3659</v>
      </c>
      <c r="F1331" s="38" t="s">
        <v>3898</v>
      </c>
      <c r="G1331" s="38"/>
      <c r="H1331" s="38" t="s">
        <v>2164</v>
      </c>
      <c r="I1331" s="38" t="s">
        <v>2124</v>
      </c>
      <c r="J1331" s="38"/>
      <c r="K1331" s="38"/>
      <c r="L1331" s="38" t="s">
        <v>2136</v>
      </c>
      <c r="M1331" s="38">
        <v>1</v>
      </c>
      <c r="N1331" s="38"/>
      <c r="O1331" s="10"/>
      <c r="P1331" s="11"/>
    </row>
    <row r="1332" spans="1:16" ht="26.25" thickBot="1">
      <c r="A1332" s="6" t="s">
        <v>3660</v>
      </c>
      <c r="B1332" s="10" t="s">
        <v>3661</v>
      </c>
      <c r="C1332" s="11"/>
      <c r="D1332" s="10" t="s">
        <v>2752</v>
      </c>
      <c r="E1332" s="38" t="s">
        <v>4228</v>
      </c>
      <c r="F1332" s="38" t="s">
        <v>3662</v>
      </c>
      <c r="G1332" s="38"/>
      <c r="H1332" s="38" t="s">
        <v>2129</v>
      </c>
      <c r="I1332" s="38" t="s">
        <v>2124</v>
      </c>
      <c r="J1332" s="38"/>
      <c r="K1332" s="38" t="s">
        <v>2503</v>
      </c>
      <c r="L1332" s="38" t="s">
        <v>2130</v>
      </c>
      <c r="M1332" s="38">
        <v>2</v>
      </c>
      <c r="N1332" s="38"/>
      <c r="O1332" s="10"/>
      <c r="P1332" s="11"/>
    </row>
    <row r="1333" spans="1:16" ht="26.25" thickBot="1">
      <c r="A1333" s="6" t="s">
        <v>3663</v>
      </c>
      <c r="B1333" s="10" t="s">
        <v>3664</v>
      </c>
      <c r="C1333" s="11" t="s">
        <v>4231</v>
      </c>
      <c r="D1333" s="10" t="s">
        <v>2752</v>
      </c>
      <c r="E1333" s="38" t="s">
        <v>4233</v>
      </c>
      <c r="F1333" s="38" t="s">
        <v>4234</v>
      </c>
      <c r="G1333" s="38"/>
      <c r="H1333" s="38" t="s">
        <v>2164</v>
      </c>
      <c r="I1333" s="38" t="s">
        <v>2124</v>
      </c>
      <c r="J1333" s="38"/>
      <c r="K1333" s="38" t="s">
        <v>2503</v>
      </c>
      <c r="L1333" s="38" t="s">
        <v>2130</v>
      </c>
      <c r="M1333" s="38">
        <v>3</v>
      </c>
      <c r="N1333" s="38"/>
      <c r="O1333" s="10"/>
      <c r="P1333" s="25" t="str">
        <f>HYPERLINK("http://biade.itrust.de/biade/lpext.dll?f=id&amp;id=biadb%3Ar%3A177982&amp;t=main-h.htm","177982")</f>
        <v>177982</v>
      </c>
    </row>
    <row r="1334" spans="1:16" ht="26.25" thickBot="1">
      <c r="A1334" s="6" t="s">
        <v>3663</v>
      </c>
      <c r="B1334" s="10" t="s">
        <v>3665</v>
      </c>
      <c r="C1334" s="11" t="s">
        <v>4222</v>
      </c>
      <c r="D1334" s="10" t="s">
        <v>2752</v>
      </c>
      <c r="E1334" s="38" t="s">
        <v>4224</v>
      </c>
      <c r="F1334" s="38" t="s">
        <v>4234</v>
      </c>
      <c r="G1334" s="38"/>
      <c r="H1334" s="38" t="s">
        <v>2164</v>
      </c>
      <c r="I1334" s="38" t="s">
        <v>2124</v>
      </c>
      <c r="J1334" s="38"/>
      <c r="K1334" s="38" t="s">
        <v>2533</v>
      </c>
      <c r="L1334" s="38" t="s">
        <v>2130</v>
      </c>
      <c r="M1334" s="38">
        <v>3</v>
      </c>
      <c r="N1334" s="38"/>
      <c r="O1334" s="10"/>
      <c r="P1334" s="25" t="str">
        <f>HYPERLINK("http://biade.itrust.de/biade/lpext.dll?f=id&amp;id=biadb%3Ar%3A150939&amp;t=main-h.htm","150939")</f>
        <v>150939</v>
      </c>
    </row>
    <row r="1335" spans="1:16" ht="15">
      <c r="A1335" s="49" t="s">
        <v>3663</v>
      </c>
      <c r="B1335" s="7" t="s">
        <v>3666</v>
      </c>
      <c r="C1335" s="51" t="s">
        <v>3668</v>
      </c>
      <c r="D1335" s="49" t="s">
        <v>2128</v>
      </c>
      <c r="E1335" s="47" t="s">
        <v>2959</v>
      </c>
      <c r="F1335" s="47" t="s">
        <v>2960</v>
      </c>
      <c r="G1335" s="47"/>
      <c r="H1335" s="47" t="s">
        <v>2164</v>
      </c>
      <c r="I1335" s="47" t="s">
        <v>2124</v>
      </c>
      <c r="J1335" s="47"/>
      <c r="K1335" s="47" t="s">
        <v>2491</v>
      </c>
      <c r="L1335" s="47" t="s">
        <v>2130</v>
      </c>
      <c r="M1335" s="47">
        <v>1</v>
      </c>
      <c r="N1335" s="47"/>
      <c r="O1335" s="49"/>
      <c r="P1335" s="51"/>
    </row>
    <row r="1336" spans="1:16" ht="25.5" customHeight="1">
      <c r="A1336" s="56"/>
      <c r="B1336" s="7" t="s">
        <v>3667</v>
      </c>
      <c r="C1336" s="57"/>
      <c r="D1336" s="56"/>
      <c r="E1336" s="55"/>
      <c r="F1336" s="55"/>
      <c r="G1336" s="55"/>
      <c r="H1336" s="55"/>
      <c r="I1336" s="55"/>
      <c r="J1336" s="55"/>
      <c r="K1336" s="55"/>
      <c r="L1336" s="55"/>
      <c r="M1336" s="55"/>
      <c r="N1336" s="55"/>
      <c r="O1336" s="56"/>
      <c r="P1336" s="57"/>
    </row>
    <row r="1337" spans="1:16" ht="15.75" thickBot="1">
      <c r="A1337" s="50"/>
      <c r="B1337" s="10" t="s">
        <v>1262</v>
      </c>
      <c r="C1337" s="52"/>
      <c r="D1337" s="50"/>
      <c r="E1337" s="48"/>
      <c r="F1337" s="48"/>
      <c r="G1337" s="48"/>
      <c r="H1337" s="48"/>
      <c r="I1337" s="48"/>
      <c r="J1337" s="48"/>
      <c r="K1337" s="48"/>
      <c r="L1337" s="48"/>
      <c r="M1337" s="48"/>
      <c r="N1337" s="48"/>
      <c r="O1337" s="50"/>
      <c r="P1337" s="52"/>
    </row>
    <row r="1338" spans="1:16" ht="25.5">
      <c r="A1338" s="49" t="s">
        <v>3669</v>
      </c>
      <c r="B1338" s="7" t="s">
        <v>3670</v>
      </c>
      <c r="C1338" s="51" t="s">
        <v>3672</v>
      </c>
      <c r="D1338" s="49" t="s">
        <v>1229</v>
      </c>
      <c r="E1338" s="47" t="s">
        <v>1993</v>
      </c>
      <c r="F1338" s="47" t="s">
        <v>1231</v>
      </c>
      <c r="G1338" s="47"/>
      <c r="H1338" s="47" t="s">
        <v>2185</v>
      </c>
      <c r="I1338" s="47" t="s">
        <v>2124</v>
      </c>
      <c r="J1338" s="47"/>
      <c r="K1338" s="47" t="s">
        <v>2187</v>
      </c>
      <c r="L1338" s="47" t="s">
        <v>2165</v>
      </c>
      <c r="M1338" s="47">
        <v>3</v>
      </c>
      <c r="N1338" s="47"/>
      <c r="O1338" s="49"/>
      <c r="P1338" s="51"/>
    </row>
    <row r="1339" spans="1:16" ht="15.75" thickBot="1">
      <c r="A1339" s="50"/>
      <c r="B1339" s="10" t="s">
        <v>3671</v>
      </c>
      <c r="C1339" s="52"/>
      <c r="D1339" s="50"/>
      <c r="E1339" s="48"/>
      <c r="F1339" s="48"/>
      <c r="G1339" s="48"/>
      <c r="H1339" s="48"/>
      <c r="I1339" s="48"/>
      <c r="J1339" s="48"/>
      <c r="K1339" s="48"/>
      <c r="L1339" s="48"/>
      <c r="M1339" s="48"/>
      <c r="N1339" s="48"/>
      <c r="O1339" s="50"/>
      <c r="P1339" s="52"/>
    </row>
    <row r="1340" spans="1:16" ht="15.75" thickBot="1">
      <c r="A1340" s="6" t="s">
        <v>3673</v>
      </c>
      <c r="B1340" s="10" t="s">
        <v>2121</v>
      </c>
      <c r="C1340" s="11" t="s">
        <v>3674</v>
      </c>
      <c r="D1340" s="10" t="s">
        <v>2187</v>
      </c>
      <c r="E1340" s="38" t="s">
        <v>3516</v>
      </c>
      <c r="F1340" s="38" t="s">
        <v>3528</v>
      </c>
      <c r="G1340" s="38"/>
      <c r="H1340" s="38" t="s">
        <v>2123</v>
      </c>
      <c r="I1340" s="38" t="s">
        <v>2124</v>
      </c>
      <c r="J1340" s="38"/>
      <c r="K1340" s="38"/>
      <c r="L1340" s="38" t="s">
        <v>2165</v>
      </c>
      <c r="M1340" s="38">
        <v>3</v>
      </c>
      <c r="N1340" s="38"/>
      <c r="O1340" s="10"/>
      <c r="P1340" s="25" t="str">
        <f>HYPERLINK("http://biade.itrust.de/biade/lpext.dll?f=id&amp;id=biadb%3Ar%3A022900&amp;t=main-h.htm","22900")</f>
        <v>22900</v>
      </c>
    </row>
    <row r="1341" spans="1:16" ht="22.5" customHeight="1">
      <c r="A1341" s="53" t="s">
        <v>3675</v>
      </c>
      <c r="B1341" s="49" t="s">
        <v>1045</v>
      </c>
      <c r="C1341" s="51" t="s">
        <v>3676</v>
      </c>
      <c r="D1341" s="49" t="s">
        <v>2152</v>
      </c>
      <c r="E1341" s="47" t="s">
        <v>3677</v>
      </c>
      <c r="F1341" s="47" t="s">
        <v>3678</v>
      </c>
      <c r="G1341" s="47"/>
      <c r="H1341" s="39" t="s">
        <v>681</v>
      </c>
      <c r="I1341" s="47" t="s">
        <v>2124</v>
      </c>
      <c r="J1341" s="47"/>
      <c r="K1341" s="47"/>
      <c r="L1341" s="47" t="s">
        <v>2165</v>
      </c>
      <c r="M1341" s="47">
        <v>3</v>
      </c>
      <c r="N1341" s="47"/>
      <c r="O1341" s="49"/>
      <c r="P1341" s="51"/>
    </row>
    <row r="1342" spans="1:16" ht="15.75" thickBot="1">
      <c r="A1342" s="54"/>
      <c r="B1342" s="50"/>
      <c r="C1342" s="52"/>
      <c r="D1342" s="50"/>
      <c r="E1342" s="48"/>
      <c r="F1342" s="48"/>
      <c r="G1342" s="48"/>
      <c r="H1342" s="38" t="s">
        <v>682</v>
      </c>
      <c r="I1342" s="48"/>
      <c r="J1342" s="48"/>
      <c r="K1342" s="48"/>
      <c r="L1342" s="48"/>
      <c r="M1342" s="48"/>
      <c r="N1342" s="48"/>
      <c r="O1342" s="50"/>
      <c r="P1342" s="52"/>
    </row>
    <row r="1343" spans="1:16" ht="15">
      <c r="A1343" s="49" t="s">
        <v>3679</v>
      </c>
      <c r="B1343" s="49" t="s">
        <v>3680</v>
      </c>
      <c r="C1343" s="51" t="s">
        <v>3681</v>
      </c>
      <c r="D1343" s="49" t="s">
        <v>2513</v>
      </c>
      <c r="E1343" s="47" t="s">
        <v>3682</v>
      </c>
      <c r="F1343" s="47" t="s">
        <v>3683</v>
      </c>
      <c r="G1343" s="47" t="s">
        <v>3513</v>
      </c>
      <c r="H1343" s="47" t="s">
        <v>3220</v>
      </c>
      <c r="I1343" s="39">
        <v>7.8</v>
      </c>
      <c r="J1343" s="47"/>
      <c r="K1343" s="47" t="s">
        <v>2189</v>
      </c>
      <c r="L1343" s="47" t="s">
        <v>2165</v>
      </c>
      <c r="M1343" s="47">
        <v>2</v>
      </c>
      <c r="N1343" s="47" t="s">
        <v>3684</v>
      </c>
      <c r="O1343" s="49"/>
      <c r="P1343" s="51"/>
    </row>
    <row r="1344" spans="1:16" ht="15.75" thickBot="1">
      <c r="A1344" s="50"/>
      <c r="B1344" s="50"/>
      <c r="C1344" s="52"/>
      <c r="D1344" s="50"/>
      <c r="E1344" s="48"/>
      <c r="F1344" s="48"/>
      <c r="G1344" s="48"/>
      <c r="H1344" s="48"/>
      <c r="I1344" s="38">
        <v>2</v>
      </c>
      <c r="J1344" s="48"/>
      <c r="K1344" s="48"/>
      <c r="L1344" s="48"/>
      <c r="M1344" s="48"/>
      <c r="N1344" s="48"/>
      <c r="O1344" s="50"/>
      <c r="P1344" s="52"/>
    </row>
    <row r="1345" spans="1:16" ht="16.5" thickBot="1">
      <c r="A1345" s="6" t="s">
        <v>3685</v>
      </c>
      <c r="B1345" s="10"/>
      <c r="C1345" s="11" t="s">
        <v>3686</v>
      </c>
      <c r="D1345" s="10" t="s">
        <v>1229</v>
      </c>
      <c r="E1345" s="38" t="s">
        <v>3687</v>
      </c>
      <c r="F1345" s="38" t="s">
        <v>1231</v>
      </c>
      <c r="G1345" s="38" t="s">
        <v>3688</v>
      </c>
      <c r="H1345" s="38" t="s">
        <v>3689</v>
      </c>
      <c r="I1345" s="38" t="s">
        <v>2124</v>
      </c>
      <c r="J1345" s="38"/>
      <c r="K1345" s="38" t="s">
        <v>1239</v>
      </c>
      <c r="L1345" s="38" t="s">
        <v>2130</v>
      </c>
      <c r="M1345" s="38">
        <v>2</v>
      </c>
      <c r="N1345" s="38" t="s">
        <v>3690</v>
      </c>
      <c r="O1345" s="10"/>
      <c r="P1345" s="25" t="str">
        <f>HYPERLINK("http://biade.itrust.de/biade/lpext.dll?f=id&amp;id=biadb%3Ar%3A100532&amp;t=main-h.htm","100532")</f>
        <v>100532</v>
      </c>
    </row>
    <row r="1346" spans="1:16" ht="15.75" thickBot="1">
      <c r="A1346" s="6" t="s">
        <v>3691</v>
      </c>
      <c r="B1346" s="10" t="s">
        <v>2121</v>
      </c>
      <c r="C1346" s="11" t="s">
        <v>3692</v>
      </c>
      <c r="D1346" s="10"/>
      <c r="E1346" s="38"/>
      <c r="F1346" s="38"/>
      <c r="G1346" s="38"/>
      <c r="H1346" s="38" t="s">
        <v>2123</v>
      </c>
      <c r="I1346" s="38" t="s">
        <v>2124</v>
      </c>
      <c r="J1346" s="38"/>
      <c r="K1346" s="38"/>
      <c r="L1346" s="38" t="s">
        <v>2165</v>
      </c>
      <c r="M1346" s="38">
        <v>2</v>
      </c>
      <c r="N1346" s="38"/>
      <c r="O1346" s="10"/>
      <c r="P1346" s="11"/>
    </row>
    <row r="1347" spans="1:16" ht="26.25" thickBot="1">
      <c r="A1347" s="6" t="s">
        <v>3693</v>
      </c>
      <c r="B1347" s="10" t="s">
        <v>1042</v>
      </c>
      <c r="C1347" s="11" t="s">
        <v>3694</v>
      </c>
      <c r="D1347" s="10"/>
      <c r="E1347" s="38"/>
      <c r="F1347" s="38"/>
      <c r="G1347" s="38"/>
      <c r="H1347" s="38" t="s">
        <v>2123</v>
      </c>
      <c r="I1347" s="38" t="s">
        <v>2124</v>
      </c>
      <c r="J1347" s="38"/>
      <c r="K1347" s="38"/>
      <c r="L1347" s="38" t="s">
        <v>2125</v>
      </c>
      <c r="M1347" s="38"/>
      <c r="N1347" s="38"/>
      <c r="O1347" s="10"/>
      <c r="P1347" s="25" t="str">
        <f>HYPERLINK("http://biade.itrust.de/biade/lpext.dll?f=id&amp;id=biadb%3Ar%3A100327&amp;t=main-h.htm","100327")</f>
        <v>100327</v>
      </c>
    </row>
    <row r="1348" spans="1:16" ht="15.75" thickBot="1">
      <c r="A1348" s="6" t="s">
        <v>3695</v>
      </c>
      <c r="B1348" s="10" t="s">
        <v>1041</v>
      </c>
      <c r="C1348" s="11" t="s">
        <v>3696</v>
      </c>
      <c r="D1348" s="10" t="s">
        <v>2152</v>
      </c>
      <c r="E1348" s="38" t="s">
        <v>3697</v>
      </c>
      <c r="F1348" s="38" t="s">
        <v>2758</v>
      </c>
      <c r="G1348" s="38" t="s">
        <v>3698</v>
      </c>
      <c r="H1348" s="38" t="s">
        <v>3220</v>
      </c>
      <c r="I1348" s="38" t="s">
        <v>2124</v>
      </c>
      <c r="J1348" s="38"/>
      <c r="K1348" s="38" t="s">
        <v>2157</v>
      </c>
      <c r="L1348" s="38" t="s">
        <v>2165</v>
      </c>
      <c r="M1348" s="38">
        <v>3</v>
      </c>
      <c r="N1348" s="38"/>
      <c r="O1348" s="10"/>
      <c r="P1348" s="25" t="str">
        <f>HYPERLINK("http://biade.itrust.de/biade/lpext.dll?f=id&amp;id=biadb%3Ar%3A015030&amp;t=main-h.htm","15030")</f>
        <v>15030</v>
      </c>
    </row>
    <row r="1349" spans="1:16" ht="15.75" thickBot="1">
      <c r="A1349" s="6" t="s">
        <v>3699</v>
      </c>
      <c r="B1349" s="10" t="s">
        <v>1044</v>
      </c>
      <c r="C1349" s="11" t="s">
        <v>3700</v>
      </c>
      <c r="D1349" s="10" t="s">
        <v>2152</v>
      </c>
      <c r="E1349" s="38" t="s">
        <v>3701</v>
      </c>
      <c r="F1349" s="38" t="s">
        <v>2758</v>
      </c>
      <c r="G1349" s="38" t="s">
        <v>3702</v>
      </c>
      <c r="H1349" s="38" t="s">
        <v>1245</v>
      </c>
      <c r="I1349" s="38" t="s">
        <v>2124</v>
      </c>
      <c r="J1349" s="38"/>
      <c r="K1349" s="38" t="s">
        <v>2157</v>
      </c>
      <c r="L1349" s="38" t="s">
        <v>2165</v>
      </c>
      <c r="M1349" s="38">
        <v>2</v>
      </c>
      <c r="N1349" s="38"/>
      <c r="O1349" s="10"/>
      <c r="P1349" s="25" t="str">
        <f>HYPERLINK("http://biade.itrust.de/biade/lpext.dll?f=id&amp;id=biadb%3Ar%3A016690&amp;t=main-h.htm","16690")</f>
        <v>16690</v>
      </c>
    </row>
    <row r="1350" spans="1:16" ht="15">
      <c r="A1350" s="49" t="s">
        <v>3703</v>
      </c>
      <c r="B1350" s="49" t="s">
        <v>1043</v>
      </c>
      <c r="C1350" s="51" t="s">
        <v>3704</v>
      </c>
      <c r="D1350" s="49" t="s">
        <v>2152</v>
      </c>
      <c r="E1350" s="47" t="s">
        <v>3705</v>
      </c>
      <c r="F1350" s="47" t="s">
        <v>2758</v>
      </c>
      <c r="G1350" s="47" t="s">
        <v>2264</v>
      </c>
      <c r="H1350" s="47" t="s">
        <v>3220</v>
      </c>
      <c r="I1350" s="39" t="s">
        <v>3611</v>
      </c>
      <c r="J1350" s="47">
        <v>2</v>
      </c>
      <c r="K1350" s="47" t="s">
        <v>2157</v>
      </c>
      <c r="L1350" s="47" t="s">
        <v>2165</v>
      </c>
      <c r="M1350" s="47">
        <v>3</v>
      </c>
      <c r="N1350" s="47"/>
      <c r="O1350" s="49"/>
      <c r="P1350" s="51"/>
    </row>
    <row r="1351" spans="1:16" ht="15.75" thickBot="1">
      <c r="A1351" s="50"/>
      <c r="B1351" s="50"/>
      <c r="C1351" s="52"/>
      <c r="D1351" s="50"/>
      <c r="E1351" s="48"/>
      <c r="F1351" s="48"/>
      <c r="G1351" s="48"/>
      <c r="H1351" s="48"/>
      <c r="I1351" s="38" t="s">
        <v>2124</v>
      </c>
      <c r="J1351" s="48"/>
      <c r="K1351" s="48"/>
      <c r="L1351" s="48"/>
      <c r="M1351" s="48"/>
      <c r="N1351" s="48"/>
      <c r="O1351" s="50"/>
      <c r="P1351" s="52"/>
    </row>
    <row r="1352" spans="1:16" ht="15">
      <c r="A1352" s="49" t="s">
        <v>3706</v>
      </c>
      <c r="B1352" s="32" t="s">
        <v>3707</v>
      </c>
      <c r="C1352" s="51" t="s">
        <v>3708</v>
      </c>
      <c r="D1352" s="49" t="s">
        <v>2134</v>
      </c>
      <c r="E1352" s="47" t="s">
        <v>3219</v>
      </c>
      <c r="F1352" s="47">
        <v>26</v>
      </c>
      <c r="G1352" s="47"/>
      <c r="H1352" s="39" t="s">
        <v>681</v>
      </c>
      <c r="I1352" s="47" t="s">
        <v>2124</v>
      </c>
      <c r="J1352" s="47"/>
      <c r="K1352" s="47"/>
      <c r="L1352" s="47" t="s">
        <v>2165</v>
      </c>
      <c r="M1352" s="47">
        <v>1</v>
      </c>
      <c r="N1352" s="47" t="s">
        <v>1252</v>
      </c>
      <c r="O1352" s="49"/>
      <c r="P1352" s="51"/>
    </row>
    <row r="1353" spans="1:16" ht="15.75" thickBot="1">
      <c r="A1353" s="50"/>
      <c r="B1353" s="10" t="s">
        <v>3595</v>
      </c>
      <c r="C1353" s="52"/>
      <c r="D1353" s="50"/>
      <c r="E1353" s="48"/>
      <c r="F1353" s="48"/>
      <c r="G1353" s="48"/>
      <c r="H1353" s="38" t="s">
        <v>3709</v>
      </c>
      <c r="I1353" s="48"/>
      <c r="J1353" s="48"/>
      <c r="K1353" s="48"/>
      <c r="L1353" s="48"/>
      <c r="M1353" s="48"/>
      <c r="N1353" s="48"/>
      <c r="O1353" s="50"/>
      <c r="P1353" s="52"/>
    </row>
    <row r="1354" spans="1:16" ht="15.75" thickBot="1">
      <c r="A1354" s="6" t="s">
        <v>3710</v>
      </c>
      <c r="B1354" s="10"/>
      <c r="C1354" s="11" t="s">
        <v>3711</v>
      </c>
      <c r="D1354" s="10" t="s">
        <v>2152</v>
      </c>
      <c r="E1354" s="38" t="s">
        <v>3712</v>
      </c>
      <c r="F1354" s="38" t="s">
        <v>2615</v>
      </c>
      <c r="G1354" s="38" t="s">
        <v>2046</v>
      </c>
      <c r="H1354" s="38" t="s">
        <v>1232</v>
      </c>
      <c r="I1354" s="38" t="s">
        <v>2124</v>
      </c>
      <c r="J1354" s="38"/>
      <c r="K1354" s="38" t="s">
        <v>2187</v>
      </c>
      <c r="L1354" s="38" t="s">
        <v>2165</v>
      </c>
      <c r="M1354" s="38">
        <v>3</v>
      </c>
      <c r="N1354" s="38"/>
      <c r="O1354" s="10"/>
      <c r="P1354" s="25" t="str">
        <f>HYPERLINK("http://biade.itrust.de/biade/lpext.dll?f=id&amp;id=biadb%3Ar%3A018830&amp;t=main-h.htm","18830")</f>
        <v>18830</v>
      </c>
    </row>
    <row r="1355" spans="1:16" ht="15.75" thickBot="1">
      <c r="A1355" s="6" t="s">
        <v>3713</v>
      </c>
      <c r="B1355" s="10"/>
      <c r="C1355" s="11" t="s">
        <v>3714</v>
      </c>
      <c r="D1355" s="10" t="s">
        <v>2152</v>
      </c>
      <c r="E1355" s="38" t="s">
        <v>3712</v>
      </c>
      <c r="F1355" s="38" t="s">
        <v>2615</v>
      </c>
      <c r="G1355" s="38" t="s">
        <v>2046</v>
      </c>
      <c r="H1355" s="38" t="s">
        <v>1232</v>
      </c>
      <c r="I1355" s="38" t="s">
        <v>2124</v>
      </c>
      <c r="J1355" s="38"/>
      <c r="K1355" s="38" t="s">
        <v>2187</v>
      </c>
      <c r="L1355" s="38" t="s">
        <v>2130</v>
      </c>
      <c r="M1355" s="38">
        <v>3</v>
      </c>
      <c r="N1355" s="38"/>
      <c r="O1355" s="10"/>
      <c r="P1355" s="25" t="str">
        <f>HYPERLINK("http://biade.itrust.de/biade/lpext.dll?f=id&amp;id=biadb%3Ar%3A490069&amp;t=main-h.htm","490069")</f>
        <v>490069</v>
      </c>
    </row>
    <row r="1356" spans="1:16" ht="15">
      <c r="A1356" s="49" t="s">
        <v>1000</v>
      </c>
      <c r="B1356" s="7" t="s">
        <v>3715</v>
      </c>
      <c r="C1356" s="51" t="s">
        <v>3716</v>
      </c>
      <c r="D1356" s="49" t="s">
        <v>3717</v>
      </c>
      <c r="E1356" s="47" t="s">
        <v>3718</v>
      </c>
      <c r="F1356" s="47" t="s">
        <v>3719</v>
      </c>
      <c r="G1356" s="47" t="s">
        <v>3940</v>
      </c>
      <c r="H1356" s="47" t="s">
        <v>2901</v>
      </c>
      <c r="I1356" s="47" t="s">
        <v>2124</v>
      </c>
      <c r="J1356" s="47"/>
      <c r="K1356" s="47" t="s">
        <v>2157</v>
      </c>
      <c r="L1356" s="47" t="s">
        <v>2165</v>
      </c>
      <c r="M1356" s="47" t="s">
        <v>2849</v>
      </c>
      <c r="N1356" s="47" t="s">
        <v>4148</v>
      </c>
      <c r="O1356" s="49"/>
      <c r="P1356" s="51"/>
    </row>
    <row r="1357" spans="1:16" ht="15.75" thickBot="1">
      <c r="A1357" s="50"/>
      <c r="B1357" s="10" t="s">
        <v>1256</v>
      </c>
      <c r="C1357" s="52"/>
      <c r="D1357" s="50"/>
      <c r="E1357" s="48"/>
      <c r="F1357" s="48"/>
      <c r="G1357" s="48"/>
      <c r="H1357" s="48"/>
      <c r="I1357" s="48"/>
      <c r="J1357" s="48"/>
      <c r="K1357" s="48"/>
      <c r="L1357" s="48"/>
      <c r="M1357" s="48"/>
      <c r="N1357" s="48"/>
      <c r="O1357" s="50"/>
      <c r="P1357" s="52"/>
    </row>
    <row r="1358" spans="1:16" ht="15">
      <c r="A1358" s="49" t="s">
        <v>3720</v>
      </c>
      <c r="B1358" s="7" t="s">
        <v>1040</v>
      </c>
      <c r="C1358" s="51" t="s">
        <v>3721</v>
      </c>
      <c r="D1358" s="49" t="s">
        <v>2134</v>
      </c>
      <c r="E1358" s="47" t="s">
        <v>2162</v>
      </c>
      <c r="F1358" s="47" t="s">
        <v>3722</v>
      </c>
      <c r="G1358" s="47"/>
      <c r="H1358" s="47" t="s">
        <v>2129</v>
      </c>
      <c r="I1358" s="47" t="s">
        <v>2124</v>
      </c>
      <c r="J1358" s="47"/>
      <c r="K1358" s="47"/>
      <c r="L1358" s="47" t="s">
        <v>2165</v>
      </c>
      <c r="M1358" s="47">
        <v>2</v>
      </c>
      <c r="N1358" s="47" t="s">
        <v>1252</v>
      </c>
      <c r="O1358" s="49"/>
      <c r="P1358" s="51"/>
    </row>
    <row r="1359" spans="1:16" ht="15.75" thickBot="1">
      <c r="A1359" s="50"/>
      <c r="B1359" s="10" t="s">
        <v>5</v>
      </c>
      <c r="C1359" s="52"/>
      <c r="D1359" s="50"/>
      <c r="E1359" s="48"/>
      <c r="F1359" s="48"/>
      <c r="G1359" s="48"/>
      <c r="H1359" s="48"/>
      <c r="I1359" s="48"/>
      <c r="J1359" s="48"/>
      <c r="K1359" s="48"/>
      <c r="L1359" s="48"/>
      <c r="M1359" s="48"/>
      <c r="N1359" s="48"/>
      <c r="O1359" s="50"/>
      <c r="P1359" s="52"/>
    </row>
    <row r="1360" spans="1:16" ht="15">
      <c r="A1360" s="49" t="s">
        <v>3723</v>
      </c>
      <c r="B1360" s="49" t="s">
        <v>3724</v>
      </c>
      <c r="C1360" s="51" t="s">
        <v>3725</v>
      </c>
      <c r="D1360" s="49" t="s">
        <v>2227</v>
      </c>
      <c r="E1360" s="47" t="s">
        <v>213</v>
      </c>
      <c r="F1360" s="47" t="s">
        <v>3884</v>
      </c>
      <c r="G1360" s="47"/>
      <c r="H1360" s="39" t="s">
        <v>681</v>
      </c>
      <c r="I1360" s="47" t="s">
        <v>2124</v>
      </c>
      <c r="J1360" s="47"/>
      <c r="K1360" s="47" t="s">
        <v>2188</v>
      </c>
      <c r="L1360" s="47" t="s">
        <v>841</v>
      </c>
      <c r="M1360" s="47">
        <v>1</v>
      </c>
      <c r="N1360" s="47"/>
      <c r="O1360" s="49"/>
      <c r="P1360" s="51"/>
    </row>
    <row r="1361" spans="1:16" ht="15.75" thickBot="1">
      <c r="A1361" s="50"/>
      <c r="B1361" s="50"/>
      <c r="C1361" s="52"/>
      <c r="D1361" s="50"/>
      <c r="E1361" s="48"/>
      <c r="F1361" s="48"/>
      <c r="G1361" s="48"/>
      <c r="H1361" s="38" t="s">
        <v>682</v>
      </c>
      <c r="I1361" s="48"/>
      <c r="J1361" s="48"/>
      <c r="K1361" s="48"/>
      <c r="L1361" s="48"/>
      <c r="M1361" s="48"/>
      <c r="N1361" s="48"/>
      <c r="O1361" s="50"/>
      <c r="P1361" s="52"/>
    </row>
    <row r="1362" spans="1:16" ht="15.75" thickBot="1">
      <c r="A1362" s="6" t="s">
        <v>2220</v>
      </c>
      <c r="B1362" s="10" t="s">
        <v>3726</v>
      </c>
      <c r="C1362" s="11" t="s">
        <v>3727</v>
      </c>
      <c r="D1362" s="10" t="s">
        <v>3859</v>
      </c>
      <c r="E1362" s="38" t="s">
        <v>3728</v>
      </c>
      <c r="F1362" s="38" t="s">
        <v>3729</v>
      </c>
      <c r="G1362" s="38"/>
      <c r="H1362" s="38" t="s">
        <v>2164</v>
      </c>
      <c r="I1362" s="38" t="s">
        <v>2124</v>
      </c>
      <c r="J1362" s="38"/>
      <c r="K1362" s="38"/>
      <c r="L1362" s="38" t="s">
        <v>2219</v>
      </c>
      <c r="M1362" s="38"/>
      <c r="N1362" s="38"/>
      <c r="O1362" s="10"/>
      <c r="P1362" s="25" t="str">
        <f>HYPERLINK("http://biade.itrust.de/biade/lpext.dll?f=id&amp;id=biadb%3Ar%3A003930&amp;t=main-h.htm","3930")</f>
        <v>3930</v>
      </c>
    </row>
    <row r="1363" spans="1:16" ht="15">
      <c r="A1363" s="49" t="s">
        <v>3730</v>
      </c>
      <c r="B1363" s="7" t="s">
        <v>3731</v>
      </c>
      <c r="C1363" s="51" t="s">
        <v>3732</v>
      </c>
      <c r="D1363" s="49" t="s">
        <v>2227</v>
      </c>
      <c r="E1363" s="47" t="s">
        <v>3790</v>
      </c>
      <c r="F1363" s="47" t="s">
        <v>3884</v>
      </c>
      <c r="G1363" s="47"/>
      <c r="H1363" s="39" t="s">
        <v>681</v>
      </c>
      <c r="I1363" s="47" t="s">
        <v>2124</v>
      </c>
      <c r="J1363" s="47"/>
      <c r="K1363" s="47"/>
      <c r="L1363" s="47" t="s">
        <v>2213</v>
      </c>
      <c r="M1363" s="47">
        <v>3</v>
      </c>
      <c r="N1363" s="47" t="s">
        <v>4043</v>
      </c>
      <c r="O1363" s="49"/>
      <c r="P1363" s="51"/>
    </row>
    <row r="1364" spans="1:16" ht="15.75" thickBot="1">
      <c r="A1364" s="50"/>
      <c r="B1364" s="10" t="s">
        <v>349</v>
      </c>
      <c r="C1364" s="52"/>
      <c r="D1364" s="50"/>
      <c r="E1364" s="48"/>
      <c r="F1364" s="48"/>
      <c r="G1364" s="48"/>
      <c r="H1364" s="38" t="s">
        <v>3733</v>
      </c>
      <c r="I1364" s="48"/>
      <c r="J1364" s="48"/>
      <c r="K1364" s="48"/>
      <c r="L1364" s="48"/>
      <c r="M1364" s="48"/>
      <c r="N1364" s="48"/>
      <c r="O1364" s="50"/>
      <c r="P1364" s="52"/>
    </row>
    <row r="1365" spans="1:14" ht="15.75" thickBot="1">
      <c r="A1365" s="9"/>
      <c r="E1365" s="45"/>
      <c r="F1365" s="45"/>
      <c r="G1365" s="45"/>
      <c r="H1365" s="45"/>
      <c r="I1365" s="45"/>
      <c r="J1365" s="45"/>
      <c r="K1365" s="45"/>
      <c r="L1365" s="45"/>
      <c r="M1365" s="45"/>
      <c r="N1365" s="45"/>
    </row>
    <row r="1366" spans="1:16" ht="15">
      <c r="A1366" s="49" t="s">
        <v>3734</v>
      </c>
      <c r="B1366" s="19" t="s">
        <v>1039</v>
      </c>
      <c r="C1366" s="51" t="s">
        <v>3735</v>
      </c>
      <c r="D1366" s="49" t="s">
        <v>2227</v>
      </c>
      <c r="E1366" s="47" t="s">
        <v>3736</v>
      </c>
      <c r="F1366" s="47" t="s">
        <v>3990</v>
      </c>
      <c r="G1366" s="47"/>
      <c r="H1366" s="47" t="s">
        <v>2129</v>
      </c>
      <c r="I1366" s="47" t="s">
        <v>2124</v>
      </c>
      <c r="J1366" s="47"/>
      <c r="K1366" s="47" t="s">
        <v>2188</v>
      </c>
      <c r="L1366" s="47" t="s">
        <v>2213</v>
      </c>
      <c r="M1366" s="47">
        <v>1</v>
      </c>
      <c r="N1366" s="47" t="s">
        <v>3792</v>
      </c>
      <c r="O1366" s="49"/>
      <c r="P1366" s="51"/>
    </row>
    <row r="1367" spans="1:16" ht="15.75" thickBot="1">
      <c r="A1367" s="50"/>
      <c r="B1367" s="10" t="s">
        <v>1256</v>
      </c>
      <c r="C1367" s="52"/>
      <c r="D1367" s="50"/>
      <c r="E1367" s="48"/>
      <c r="F1367" s="48"/>
      <c r="G1367" s="48"/>
      <c r="H1367" s="48"/>
      <c r="I1367" s="48"/>
      <c r="J1367" s="48"/>
      <c r="K1367" s="48"/>
      <c r="L1367" s="48"/>
      <c r="M1367" s="48"/>
      <c r="N1367" s="48"/>
      <c r="O1367" s="50"/>
      <c r="P1367" s="52"/>
    </row>
    <row r="1368" spans="1:16" ht="15">
      <c r="A1368" s="49" t="s">
        <v>3737</v>
      </c>
      <c r="B1368" s="49" t="s">
        <v>3738</v>
      </c>
      <c r="C1368" s="51" t="s">
        <v>3739</v>
      </c>
      <c r="D1368" s="49" t="s">
        <v>2305</v>
      </c>
      <c r="E1368" s="47" t="s">
        <v>3740</v>
      </c>
      <c r="F1368" s="47" t="s">
        <v>3867</v>
      </c>
      <c r="G1368" s="47"/>
      <c r="H1368" s="47" t="s">
        <v>1224</v>
      </c>
      <c r="I1368" s="39">
        <v>2.8</v>
      </c>
      <c r="J1368" s="47">
        <v>1</v>
      </c>
      <c r="K1368" s="47" t="s">
        <v>2189</v>
      </c>
      <c r="L1368" s="47" t="s">
        <v>2213</v>
      </c>
      <c r="M1368" s="47">
        <v>1</v>
      </c>
      <c r="N1368" s="47"/>
      <c r="O1368" s="49"/>
      <c r="P1368" s="51"/>
    </row>
    <row r="1369" spans="1:16" ht="15.75" thickBot="1">
      <c r="A1369" s="50"/>
      <c r="B1369" s="50"/>
      <c r="C1369" s="52"/>
      <c r="D1369" s="50"/>
      <c r="E1369" s="48"/>
      <c r="F1369" s="48"/>
      <c r="G1369" s="48"/>
      <c r="H1369" s="48"/>
      <c r="I1369" s="38">
        <v>0.5</v>
      </c>
      <c r="J1369" s="48"/>
      <c r="K1369" s="48"/>
      <c r="L1369" s="48"/>
      <c r="M1369" s="48"/>
      <c r="N1369" s="48"/>
      <c r="O1369" s="50"/>
      <c r="P1369" s="52"/>
    </row>
    <row r="1370" spans="1:16" ht="22.5" customHeight="1">
      <c r="A1370" s="49" t="s">
        <v>3741</v>
      </c>
      <c r="B1370" s="53" t="s">
        <v>1038</v>
      </c>
      <c r="C1370" s="51" t="s">
        <v>3742</v>
      </c>
      <c r="D1370" s="49" t="s">
        <v>2227</v>
      </c>
      <c r="E1370" s="47">
        <v>35</v>
      </c>
      <c r="F1370" s="47" t="s">
        <v>3743</v>
      </c>
      <c r="G1370" s="47"/>
      <c r="H1370" s="47" t="s">
        <v>1245</v>
      </c>
      <c r="I1370" s="39" t="s">
        <v>2844</v>
      </c>
      <c r="J1370" s="47">
        <v>2</v>
      </c>
      <c r="K1370" s="47"/>
      <c r="L1370" s="47" t="s">
        <v>2136</v>
      </c>
      <c r="M1370" s="47">
        <v>1</v>
      </c>
      <c r="N1370" s="47"/>
      <c r="O1370" s="49"/>
      <c r="P1370" s="51"/>
    </row>
    <row r="1371" spans="1:16" ht="15.75" thickBot="1">
      <c r="A1371" s="50"/>
      <c r="B1371" s="54"/>
      <c r="C1371" s="52"/>
      <c r="D1371" s="50"/>
      <c r="E1371" s="48"/>
      <c r="F1371" s="48"/>
      <c r="G1371" s="48"/>
      <c r="H1371" s="48"/>
      <c r="I1371" s="38" t="s">
        <v>2124</v>
      </c>
      <c r="J1371" s="48"/>
      <c r="K1371" s="48"/>
      <c r="L1371" s="48"/>
      <c r="M1371" s="48"/>
      <c r="N1371" s="48"/>
      <c r="O1371" s="50"/>
      <c r="P1371" s="52"/>
    </row>
    <row r="1372" spans="1:16" ht="15">
      <c r="A1372" s="49" t="s">
        <v>3744</v>
      </c>
      <c r="B1372" s="49" t="s">
        <v>3745</v>
      </c>
      <c r="C1372" s="51" t="s">
        <v>3746</v>
      </c>
      <c r="D1372" s="49" t="s">
        <v>4010</v>
      </c>
      <c r="E1372" s="47" t="s">
        <v>3747</v>
      </c>
      <c r="F1372" s="47" t="s">
        <v>3867</v>
      </c>
      <c r="G1372" s="47"/>
      <c r="H1372" s="47" t="s">
        <v>1224</v>
      </c>
      <c r="I1372" s="39" t="s">
        <v>3991</v>
      </c>
      <c r="J1372" s="47">
        <v>1</v>
      </c>
      <c r="K1372" s="47" t="s">
        <v>2189</v>
      </c>
      <c r="L1372" s="47" t="s">
        <v>2213</v>
      </c>
      <c r="M1372" s="47">
        <v>1</v>
      </c>
      <c r="N1372" s="47"/>
      <c r="O1372" s="49"/>
      <c r="P1372" s="51"/>
    </row>
    <row r="1373" spans="1:16" ht="15.75" thickBot="1">
      <c r="A1373" s="50"/>
      <c r="B1373" s="50"/>
      <c r="C1373" s="52"/>
      <c r="D1373" s="50"/>
      <c r="E1373" s="48"/>
      <c r="F1373" s="48"/>
      <c r="G1373" s="48"/>
      <c r="H1373" s="48"/>
      <c r="I1373" s="38" t="s">
        <v>2124</v>
      </c>
      <c r="J1373" s="48"/>
      <c r="K1373" s="48"/>
      <c r="L1373" s="48"/>
      <c r="M1373" s="48"/>
      <c r="N1373" s="48"/>
      <c r="O1373" s="50"/>
      <c r="P1373" s="52"/>
    </row>
    <row r="1374" spans="1:16" ht="15">
      <c r="A1374" s="53" t="s">
        <v>3748</v>
      </c>
      <c r="B1374" s="49" t="s">
        <v>3749</v>
      </c>
      <c r="C1374" s="51" t="s">
        <v>3750</v>
      </c>
      <c r="D1374" s="49" t="s">
        <v>2227</v>
      </c>
      <c r="E1374" s="47">
        <v>34</v>
      </c>
      <c r="F1374" s="47" t="s">
        <v>3990</v>
      </c>
      <c r="G1374" s="47"/>
      <c r="H1374" s="47" t="s">
        <v>2129</v>
      </c>
      <c r="I1374" s="39" t="s">
        <v>2844</v>
      </c>
      <c r="J1374" s="47">
        <v>2</v>
      </c>
      <c r="K1374" s="47"/>
      <c r="L1374" s="47" t="s">
        <v>2136</v>
      </c>
      <c r="M1374" s="47">
        <v>1</v>
      </c>
      <c r="N1374" s="47" t="s">
        <v>3751</v>
      </c>
      <c r="O1374" s="49"/>
      <c r="P1374" s="51"/>
    </row>
    <row r="1375" spans="1:16" ht="15.75" thickBot="1">
      <c r="A1375" s="54"/>
      <c r="B1375" s="50"/>
      <c r="C1375" s="52"/>
      <c r="D1375" s="50"/>
      <c r="E1375" s="48"/>
      <c r="F1375" s="48"/>
      <c r="G1375" s="48"/>
      <c r="H1375" s="48"/>
      <c r="I1375" s="38" t="s">
        <v>2124</v>
      </c>
      <c r="J1375" s="48"/>
      <c r="K1375" s="48"/>
      <c r="L1375" s="48"/>
      <c r="M1375" s="48"/>
      <c r="N1375" s="48"/>
      <c r="O1375" s="50"/>
      <c r="P1375" s="52"/>
    </row>
    <row r="1376" spans="1:14" ht="15.75" thickBot="1">
      <c r="A1376" s="9"/>
      <c r="E1376" s="45"/>
      <c r="F1376" s="45"/>
      <c r="G1376" s="45"/>
      <c r="H1376" s="45"/>
      <c r="I1376" s="45"/>
      <c r="J1376" s="45"/>
      <c r="K1376" s="45"/>
      <c r="L1376" s="45"/>
      <c r="M1376" s="45"/>
      <c r="N1376" s="45"/>
    </row>
    <row r="1377" spans="1:16" ht="38.25" customHeight="1">
      <c r="A1377" s="53" t="s">
        <v>1001</v>
      </c>
      <c r="B1377" s="19" t="s">
        <v>3752</v>
      </c>
      <c r="C1377" s="51" t="s">
        <v>3753</v>
      </c>
      <c r="D1377" s="49" t="s">
        <v>2227</v>
      </c>
      <c r="E1377" s="47">
        <v>34</v>
      </c>
      <c r="F1377" s="47" t="s">
        <v>3884</v>
      </c>
      <c r="G1377" s="47"/>
      <c r="H1377" s="47" t="s">
        <v>2164</v>
      </c>
      <c r="I1377" s="47" t="s">
        <v>2124</v>
      </c>
      <c r="J1377" s="47"/>
      <c r="K1377" s="47"/>
      <c r="L1377" s="47" t="s">
        <v>2136</v>
      </c>
      <c r="M1377" s="47">
        <v>1</v>
      </c>
      <c r="N1377" s="47"/>
      <c r="O1377" s="49"/>
      <c r="P1377" s="51"/>
    </row>
    <row r="1378" spans="1:16" ht="15.75" thickBot="1">
      <c r="A1378" s="54"/>
      <c r="B1378" s="10" t="s">
        <v>5</v>
      </c>
      <c r="C1378" s="52"/>
      <c r="D1378" s="50"/>
      <c r="E1378" s="48"/>
      <c r="F1378" s="48"/>
      <c r="G1378" s="48"/>
      <c r="H1378" s="48"/>
      <c r="I1378" s="48"/>
      <c r="J1378" s="48"/>
      <c r="K1378" s="48"/>
      <c r="L1378" s="48"/>
      <c r="M1378" s="48"/>
      <c r="N1378" s="48"/>
      <c r="O1378" s="50"/>
      <c r="P1378" s="52"/>
    </row>
    <row r="1379" spans="1:16" ht="15">
      <c r="A1379" s="49" t="s">
        <v>3754</v>
      </c>
      <c r="B1379" s="49" t="s">
        <v>3755</v>
      </c>
      <c r="C1379" s="51" t="s">
        <v>3756</v>
      </c>
      <c r="D1379" s="49" t="s">
        <v>4130</v>
      </c>
      <c r="E1379" s="47" t="s">
        <v>3757</v>
      </c>
      <c r="F1379" s="47" t="s">
        <v>3758</v>
      </c>
      <c r="G1379" s="47"/>
      <c r="H1379" s="47" t="s">
        <v>1224</v>
      </c>
      <c r="I1379" s="39">
        <v>0.14</v>
      </c>
      <c r="J1379" s="47">
        <v>1</v>
      </c>
      <c r="K1379" s="47" t="s">
        <v>2187</v>
      </c>
      <c r="L1379" s="47" t="s">
        <v>2202</v>
      </c>
      <c r="M1379" s="47">
        <v>2</v>
      </c>
      <c r="N1379" s="47"/>
      <c r="O1379" s="49"/>
      <c r="P1379" s="51"/>
    </row>
    <row r="1380" spans="1:16" ht="15.75" thickBot="1">
      <c r="A1380" s="50"/>
      <c r="B1380" s="50"/>
      <c r="C1380" s="52"/>
      <c r="D1380" s="50"/>
      <c r="E1380" s="48"/>
      <c r="F1380" s="48"/>
      <c r="G1380" s="48"/>
      <c r="H1380" s="48"/>
      <c r="I1380" s="38">
        <v>0.1</v>
      </c>
      <c r="J1380" s="48"/>
      <c r="K1380" s="48"/>
      <c r="L1380" s="48"/>
      <c r="M1380" s="48"/>
      <c r="N1380" s="48"/>
      <c r="O1380" s="50"/>
      <c r="P1380" s="52"/>
    </row>
    <row r="1381" spans="1:16" ht="15.75" thickBot="1">
      <c r="A1381" s="6" t="s">
        <v>3759</v>
      </c>
      <c r="B1381" s="10" t="s">
        <v>2121</v>
      </c>
      <c r="C1381" s="11" t="s">
        <v>3760</v>
      </c>
      <c r="D1381" s="10"/>
      <c r="E1381" s="38"/>
      <c r="F1381" s="38"/>
      <c r="G1381" s="38"/>
      <c r="H1381" s="38" t="s">
        <v>2123</v>
      </c>
      <c r="I1381" s="38" t="s">
        <v>2124</v>
      </c>
      <c r="J1381" s="38"/>
      <c r="K1381" s="38"/>
      <c r="L1381" s="38" t="s">
        <v>2165</v>
      </c>
      <c r="M1381" s="38">
        <v>1</v>
      </c>
      <c r="N1381" s="38"/>
      <c r="O1381" s="10"/>
      <c r="P1381" s="25" t="str">
        <f>HYPERLINK("http://biade.itrust.de/biade/lpext.dll?f=id&amp;id=biadb%3Ar%3A010470&amp;t=main-h.htm","10470")</f>
        <v>10470</v>
      </c>
    </row>
    <row r="1382" spans="1:16" ht="25.5" customHeight="1">
      <c r="A1382" s="49" t="s">
        <v>3761</v>
      </c>
      <c r="B1382" s="7" t="s">
        <v>3762</v>
      </c>
      <c r="C1382" s="51" t="s">
        <v>3763</v>
      </c>
      <c r="D1382" s="49" t="s">
        <v>2134</v>
      </c>
      <c r="E1382" s="47" t="s">
        <v>2162</v>
      </c>
      <c r="F1382" s="47" t="s">
        <v>3764</v>
      </c>
      <c r="G1382" s="47"/>
      <c r="H1382" s="47" t="s">
        <v>2164</v>
      </c>
      <c r="I1382" s="47" t="s">
        <v>2124</v>
      </c>
      <c r="J1382" s="47"/>
      <c r="K1382" s="47"/>
      <c r="L1382" s="47" t="s">
        <v>2165</v>
      </c>
      <c r="M1382" s="47">
        <v>1</v>
      </c>
      <c r="N1382" s="47" t="s">
        <v>1252</v>
      </c>
      <c r="O1382" s="49"/>
      <c r="P1382" s="51"/>
    </row>
    <row r="1383" spans="1:16" ht="15.75" thickBot="1">
      <c r="A1383" s="50"/>
      <c r="B1383" s="10" t="s">
        <v>871</v>
      </c>
      <c r="C1383" s="52"/>
      <c r="D1383" s="50"/>
      <c r="E1383" s="48"/>
      <c r="F1383" s="48"/>
      <c r="G1383" s="48"/>
      <c r="H1383" s="48"/>
      <c r="I1383" s="48"/>
      <c r="J1383" s="48"/>
      <c r="K1383" s="48"/>
      <c r="L1383" s="48"/>
      <c r="M1383" s="48"/>
      <c r="N1383" s="48"/>
      <c r="O1383" s="50"/>
      <c r="P1383" s="52"/>
    </row>
    <row r="1384" spans="1:16" ht="15.75" thickBot="1">
      <c r="A1384" s="6" t="s">
        <v>3765</v>
      </c>
      <c r="B1384" s="10"/>
      <c r="C1384" s="11" t="s">
        <v>1285</v>
      </c>
      <c r="D1384" s="10" t="s">
        <v>2128</v>
      </c>
      <c r="E1384" s="38" t="s">
        <v>1286</v>
      </c>
      <c r="F1384" s="38" t="s">
        <v>1287</v>
      </c>
      <c r="G1384" s="38" t="s">
        <v>2184</v>
      </c>
      <c r="H1384" s="38" t="s">
        <v>2164</v>
      </c>
      <c r="I1384" s="38" t="s">
        <v>2124</v>
      </c>
      <c r="J1384" s="38"/>
      <c r="K1384" s="38"/>
      <c r="L1384" s="38" t="s">
        <v>2165</v>
      </c>
      <c r="M1384" s="38">
        <v>1</v>
      </c>
      <c r="N1384" s="38" t="s">
        <v>2144</v>
      </c>
      <c r="O1384" s="10"/>
      <c r="P1384" s="25" t="str">
        <f>HYPERLINK("http://biade.itrust.de/biade/lpext.dll?f=id&amp;id=biadb%3Ar%3A013390&amp;t=main-h.htm","13390")</f>
        <v>13390</v>
      </c>
    </row>
    <row r="1385" spans="1:16" ht="26.25" thickBot="1">
      <c r="A1385" s="6" t="s">
        <v>1288</v>
      </c>
      <c r="B1385" s="10" t="s">
        <v>1289</v>
      </c>
      <c r="C1385" s="11"/>
      <c r="D1385" s="10"/>
      <c r="E1385" s="38"/>
      <c r="F1385" s="38"/>
      <c r="G1385" s="38"/>
      <c r="H1385" s="38"/>
      <c r="I1385" s="38" t="s">
        <v>2124</v>
      </c>
      <c r="J1385" s="38"/>
      <c r="K1385" s="38"/>
      <c r="L1385" s="38"/>
      <c r="M1385" s="38"/>
      <c r="N1385" s="38"/>
      <c r="O1385" s="10"/>
      <c r="P1385" s="11"/>
    </row>
    <row r="1386" spans="1:16" ht="26.25" thickBot="1">
      <c r="A1386" s="6" t="s">
        <v>1290</v>
      </c>
      <c r="B1386" s="10" t="s">
        <v>1291</v>
      </c>
      <c r="C1386" s="11" t="s">
        <v>1292</v>
      </c>
      <c r="D1386" s="10" t="s">
        <v>1293</v>
      </c>
      <c r="E1386" s="38" t="s">
        <v>1294</v>
      </c>
      <c r="F1386" s="38" t="s">
        <v>1295</v>
      </c>
      <c r="G1386" s="38" t="s">
        <v>2183</v>
      </c>
      <c r="H1386" s="38" t="s">
        <v>2185</v>
      </c>
      <c r="I1386" s="38">
        <v>0.1</v>
      </c>
      <c r="J1386" s="38" t="s">
        <v>1270</v>
      </c>
      <c r="K1386" s="38" t="s">
        <v>2187</v>
      </c>
      <c r="L1386" s="38" t="s">
        <v>2172</v>
      </c>
      <c r="M1386" s="38">
        <v>2</v>
      </c>
      <c r="N1386" s="38"/>
      <c r="O1386" s="10"/>
      <c r="P1386" s="25" t="str">
        <f>HYPERLINK("http://biade.itrust.de/biade/lpext.dll?f=id&amp;id=biadb%3Ar%3A041550&amp;t=main-h.htm","41550")</f>
        <v>41550</v>
      </c>
    </row>
    <row r="1387" spans="1:16" ht="15.75" thickBot="1">
      <c r="A1387" s="6" t="s">
        <v>1296</v>
      </c>
      <c r="B1387" s="10" t="s">
        <v>1297</v>
      </c>
      <c r="C1387" s="11" t="s">
        <v>1298</v>
      </c>
      <c r="D1387" s="10" t="s">
        <v>1299</v>
      </c>
      <c r="E1387" s="38" t="s">
        <v>1300</v>
      </c>
      <c r="F1387" s="38" t="s">
        <v>1301</v>
      </c>
      <c r="G1387" s="38"/>
      <c r="H1387" s="38" t="s">
        <v>3220</v>
      </c>
      <c r="I1387" s="38" t="s">
        <v>2124</v>
      </c>
      <c r="J1387" s="38"/>
      <c r="K1387" s="38" t="s">
        <v>1239</v>
      </c>
      <c r="L1387" s="38" t="s">
        <v>2130</v>
      </c>
      <c r="M1387" s="38">
        <v>2</v>
      </c>
      <c r="N1387" s="38" t="s">
        <v>1302</v>
      </c>
      <c r="O1387" s="10"/>
      <c r="P1387" s="25" t="str">
        <f>HYPERLINK("http://biade.itrust.de/biade/lpext.dll?f=id&amp;id=biadb%3Ar%3A015140&amp;t=main-h.htm","15140")</f>
        <v>15140</v>
      </c>
    </row>
    <row r="1388" spans="1:16" ht="15.75" thickBot="1">
      <c r="A1388" s="6" t="s">
        <v>1303</v>
      </c>
      <c r="B1388" s="10" t="s">
        <v>1304</v>
      </c>
      <c r="C1388" s="11" t="s">
        <v>1305</v>
      </c>
      <c r="D1388" s="10" t="s">
        <v>2134</v>
      </c>
      <c r="E1388" s="38" t="s">
        <v>1306</v>
      </c>
      <c r="F1388" s="38">
        <v>61</v>
      </c>
      <c r="G1388" s="38"/>
      <c r="H1388" s="38" t="s">
        <v>2164</v>
      </c>
      <c r="I1388" s="38" t="s">
        <v>2124</v>
      </c>
      <c r="J1388" s="38"/>
      <c r="K1388" s="38"/>
      <c r="L1388" s="38" t="s">
        <v>2130</v>
      </c>
      <c r="M1388" s="38" t="s">
        <v>3881</v>
      </c>
      <c r="N1388" s="38"/>
      <c r="O1388" s="10"/>
      <c r="P1388" s="11"/>
    </row>
    <row r="1389" spans="1:16" ht="15.75" thickBot="1">
      <c r="A1389" s="6" t="s">
        <v>1307</v>
      </c>
      <c r="B1389" s="10" t="s">
        <v>2121</v>
      </c>
      <c r="C1389" s="11" t="s">
        <v>1308</v>
      </c>
      <c r="D1389" s="10" t="s">
        <v>2227</v>
      </c>
      <c r="E1389" s="38" t="s">
        <v>1309</v>
      </c>
      <c r="F1389" s="38" t="s">
        <v>1281</v>
      </c>
      <c r="G1389" s="38" t="s">
        <v>3940</v>
      </c>
      <c r="H1389" s="38" t="s">
        <v>2164</v>
      </c>
      <c r="I1389" s="38" t="s">
        <v>2124</v>
      </c>
      <c r="J1389" s="38"/>
      <c r="K1389" s="38"/>
      <c r="L1389" s="38" t="s">
        <v>2136</v>
      </c>
      <c r="M1389" s="38">
        <v>2</v>
      </c>
      <c r="N1389" s="38"/>
      <c r="O1389" s="10"/>
      <c r="P1389" s="25" t="str">
        <f>HYPERLINK("http://biade.itrust.de/biade/lpext.dll?f=id&amp;id=biadb%3Ar%3A002600&amp;t=main-h.htm","2600")</f>
        <v>2600</v>
      </c>
    </row>
    <row r="1390" spans="1:16" ht="15">
      <c r="A1390" s="49" t="s">
        <v>1310</v>
      </c>
      <c r="B1390" s="49"/>
      <c r="C1390" s="51" t="s">
        <v>1311</v>
      </c>
      <c r="D1390" s="49" t="s">
        <v>2476</v>
      </c>
      <c r="E1390" s="47">
        <v>12</v>
      </c>
      <c r="F1390" s="47" t="s">
        <v>2477</v>
      </c>
      <c r="G1390" s="47"/>
      <c r="H1390" s="47" t="s">
        <v>500</v>
      </c>
      <c r="I1390" s="39">
        <v>1800</v>
      </c>
      <c r="J1390" s="47">
        <v>4</v>
      </c>
      <c r="K1390" s="47" t="s">
        <v>2457</v>
      </c>
      <c r="L1390" s="47" t="s">
        <v>2202</v>
      </c>
      <c r="M1390" s="47" t="s">
        <v>2221</v>
      </c>
      <c r="N1390" s="47"/>
      <c r="O1390" s="49"/>
      <c r="P1390" s="51"/>
    </row>
    <row r="1391" spans="1:16" ht="15.75" thickBot="1">
      <c r="A1391" s="50"/>
      <c r="B1391" s="50"/>
      <c r="C1391" s="52"/>
      <c r="D1391" s="50"/>
      <c r="E1391" s="48"/>
      <c r="F1391" s="48"/>
      <c r="G1391" s="48"/>
      <c r="H1391" s="48"/>
      <c r="I1391" s="38">
        <v>1000</v>
      </c>
      <c r="J1391" s="48"/>
      <c r="K1391" s="48"/>
      <c r="L1391" s="48"/>
      <c r="M1391" s="48"/>
      <c r="N1391" s="48"/>
      <c r="O1391" s="50"/>
      <c r="P1391" s="52"/>
    </row>
    <row r="1392" spans="1:16" ht="15.75" thickBot="1">
      <c r="A1392" s="6" t="s">
        <v>1312</v>
      </c>
      <c r="B1392" s="10" t="s">
        <v>1037</v>
      </c>
      <c r="C1392" s="11" t="s">
        <v>1313</v>
      </c>
      <c r="D1392" s="10" t="s">
        <v>3771</v>
      </c>
      <c r="E1392" s="38" t="s">
        <v>3524</v>
      </c>
      <c r="F1392" s="38" t="s">
        <v>2741</v>
      </c>
      <c r="G1392" s="38"/>
      <c r="H1392" s="38" t="s">
        <v>2164</v>
      </c>
      <c r="I1392" s="38" t="s">
        <v>2124</v>
      </c>
      <c r="J1392" s="38"/>
      <c r="K1392" s="38" t="s">
        <v>2533</v>
      </c>
      <c r="L1392" s="38" t="s">
        <v>2130</v>
      </c>
      <c r="M1392" s="38">
        <v>1</v>
      </c>
      <c r="N1392" s="38"/>
      <c r="O1392" s="10"/>
      <c r="P1392" s="25" t="str">
        <f>HYPERLINK("http://biade.itrust.de/biade/lpext.dll?f=id&amp;id=biadb%3Ar%3A013760&amp;t=main-h.htm","13760")</f>
        <v>13760</v>
      </c>
    </row>
    <row r="1393" spans="1:16" ht="15.75" thickBot="1">
      <c r="A1393" s="6" t="s">
        <v>1314</v>
      </c>
      <c r="B1393" s="10"/>
      <c r="C1393" s="11" t="s">
        <v>1315</v>
      </c>
      <c r="D1393" s="10" t="s">
        <v>3771</v>
      </c>
      <c r="E1393" s="38" t="s">
        <v>1316</v>
      </c>
      <c r="F1393" s="38" t="s">
        <v>1317</v>
      </c>
      <c r="G1393" s="38"/>
      <c r="H1393" s="38" t="s">
        <v>2129</v>
      </c>
      <c r="I1393" s="38" t="s">
        <v>2124</v>
      </c>
      <c r="J1393" s="38"/>
      <c r="K1393" s="38" t="s">
        <v>2533</v>
      </c>
      <c r="L1393" s="38" t="s">
        <v>2130</v>
      </c>
      <c r="M1393" s="38">
        <v>1</v>
      </c>
      <c r="N1393" s="38"/>
      <c r="O1393" s="10"/>
      <c r="P1393" s="25" t="str">
        <f>HYPERLINK("http://biade.itrust.de/biade/lpext.dll?f=id&amp;id=biadb%3Ar%3A013580&amp;t=main-h.htm","13580")</f>
        <v>13580</v>
      </c>
    </row>
    <row r="1394" spans="1:16" ht="15">
      <c r="A1394" s="49" t="s">
        <v>1318</v>
      </c>
      <c r="B1394" s="49" t="s">
        <v>1036</v>
      </c>
      <c r="C1394" s="51" t="s">
        <v>1916</v>
      </c>
      <c r="D1394" s="49" t="s">
        <v>3771</v>
      </c>
      <c r="E1394" s="47" t="s">
        <v>1917</v>
      </c>
      <c r="F1394" s="47" t="s">
        <v>1918</v>
      </c>
      <c r="G1394" s="47"/>
      <c r="H1394" s="47" t="s">
        <v>2164</v>
      </c>
      <c r="I1394" s="39">
        <v>500</v>
      </c>
      <c r="J1394" s="47">
        <v>2</v>
      </c>
      <c r="K1394" s="47" t="s">
        <v>2533</v>
      </c>
      <c r="L1394" s="47" t="s">
        <v>2130</v>
      </c>
      <c r="M1394" s="47">
        <v>1</v>
      </c>
      <c r="N1394" s="47"/>
      <c r="O1394" s="49"/>
      <c r="P1394" s="51"/>
    </row>
    <row r="1395" spans="1:16" ht="15.75" thickBot="1">
      <c r="A1395" s="50"/>
      <c r="B1395" s="50"/>
      <c r="C1395" s="52"/>
      <c r="D1395" s="50"/>
      <c r="E1395" s="48"/>
      <c r="F1395" s="48"/>
      <c r="G1395" s="48"/>
      <c r="H1395" s="48"/>
      <c r="I1395" s="38">
        <v>200</v>
      </c>
      <c r="J1395" s="48"/>
      <c r="K1395" s="48"/>
      <c r="L1395" s="48"/>
      <c r="M1395" s="48"/>
      <c r="N1395" s="48"/>
      <c r="O1395" s="50"/>
      <c r="P1395" s="52"/>
    </row>
    <row r="1396" spans="1:16" ht="15.75" thickBot="1">
      <c r="A1396" s="6" t="s">
        <v>1319</v>
      </c>
      <c r="B1396" s="10" t="s">
        <v>1320</v>
      </c>
      <c r="C1396" s="11" t="s">
        <v>1321</v>
      </c>
      <c r="D1396" s="10" t="s">
        <v>2476</v>
      </c>
      <c r="E1396" s="38">
        <v>12</v>
      </c>
      <c r="F1396" s="38" t="s">
        <v>2507</v>
      </c>
      <c r="G1396" s="38"/>
      <c r="H1396" s="38" t="s">
        <v>500</v>
      </c>
      <c r="I1396" s="38" t="s">
        <v>2124</v>
      </c>
      <c r="J1396" s="38"/>
      <c r="K1396" s="38" t="s">
        <v>2457</v>
      </c>
      <c r="L1396" s="38" t="s">
        <v>2202</v>
      </c>
      <c r="M1396" s="38" t="s">
        <v>2221</v>
      </c>
      <c r="N1396" s="38"/>
      <c r="O1396" s="10"/>
      <c r="P1396" s="25" t="str">
        <f>HYPERLINK("http://biade.itrust.de/biade/lpext.dll?f=id&amp;id=biadb%3Ar%3A010100&amp;t=main-h.htm","10100")</f>
        <v>10100</v>
      </c>
    </row>
    <row r="1397" spans="1:16" ht="15">
      <c r="A1397" s="49" t="s">
        <v>1322</v>
      </c>
      <c r="B1397" s="49" t="s">
        <v>1323</v>
      </c>
      <c r="C1397" s="51" t="s">
        <v>1324</v>
      </c>
      <c r="D1397" s="49" t="s">
        <v>2152</v>
      </c>
      <c r="E1397" s="47" t="s">
        <v>1325</v>
      </c>
      <c r="F1397" s="47" t="s">
        <v>1326</v>
      </c>
      <c r="G1397" s="47" t="s">
        <v>2183</v>
      </c>
      <c r="H1397" s="47" t="s">
        <v>3220</v>
      </c>
      <c r="I1397" s="39">
        <v>4.8</v>
      </c>
      <c r="J1397" s="47">
        <v>2.5</v>
      </c>
      <c r="K1397" s="47" t="s">
        <v>1239</v>
      </c>
      <c r="L1397" s="47" t="s">
        <v>2130</v>
      </c>
      <c r="M1397" s="47">
        <v>2</v>
      </c>
      <c r="N1397" s="47" t="s">
        <v>2798</v>
      </c>
      <c r="O1397" s="49"/>
      <c r="P1397" s="51"/>
    </row>
    <row r="1398" spans="1:16" ht="15.75" thickBot="1">
      <c r="A1398" s="50"/>
      <c r="B1398" s="50"/>
      <c r="C1398" s="52"/>
      <c r="D1398" s="50"/>
      <c r="E1398" s="48"/>
      <c r="F1398" s="48"/>
      <c r="G1398" s="48"/>
      <c r="H1398" s="48"/>
      <c r="I1398" s="38">
        <v>2</v>
      </c>
      <c r="J1398" s="48"/>
      <c r="K1398" s="48"/>
      <c r="L1398" s="48"/>
      <c r="M1398" s="48"/>
      <c r="N1398" s="48"/>
      <c r="O1398" s="50"/>
      <c r="P1398" s="52"/>
    </row>
    <row r="1399" spans="1:16" ht="15">
      <c r="A1399" s="49" t="s">
        <v>1327</v>
      </c>
      <c r="B1399" s="49" t="s">
        <v>1034</v>
      </c>
      <c r="C1399" s="51" t="s">
        <v>1328</v>
      </c>
      <c r="D1399" s="49" t="s">
        <v>2227</v>
      </c>
      <c r="E1399" s="47">
        <v>34</v>
      </c>
      <c r="F1399" s="47" t="s">
        <v>1329</v>
      </c>
      <c r="G1399" s="47"/>
      <c r="H1399" s="47" t="s">
        <v>2164</v>
      </c>
      <c r="I1399" s="39">
        <v>31</v>
      </c>
      <c r="J1399" s="47">
        <v>2</v>
      </c>
      <c r="K1399" s="47"/>
      <c r="L1399" s="47" t="s">
        <v>2130</v>
      </c>
      <c r="M1399" s="47">
        <v>1</v>
      </c>
      <c r="N1399" s="47" t="s">
        <v>1330</v>
      </c>
      <c r="O1399" s="49"/>
      <c r="P1399" s="51"/>
    </row>
    <row r="1400" spans="1:16" ht="15.75" thickBot="1">
      <c r="A1400" s="50"/>
      <c r="B1400" s="50"/>
      <c r="C1400" s="52"/>
      <c r="D1400" s="50"/>
      <c r="E1400" s="48"/>
      <c r="F1400" s="48"/>
      <c r="G1400" s="48"/>
      <c r="H1400" s="48"/>
      <c r="I1400" s="38">
        <v>10</v>
      </c>
      <c r="J1400" s="48"/>
      <c r="K1400" s="48"/>
      <c r="L1400" s="48"/>
      <c r="M1400" s="48"/>
      <c r="N1400" s="48"/>
      <c r="O1400" s="50"/>
      <c r="P1400" s="52"/>
    </row>
    <row r="1401" spans="1:16" ht="15.75" thickBot="1">
      <c r="A1401" s="6" t="s">
        <v>1331</v>
      </c>
      <c r="B1401" s="10" t="s">
        <v>1035</v>
      </c>
      <c r="C1401" s="11" t="s">
        <v>1332</v>
      </c>
      <c r="D1401" s="10" t="s">
        <v>3795</v>
      </c>
      <c r="E1401" s="38" t="s">
        <v>3796</v>
      </c>
      <c r="F1401" s="38" t="s">
        <v>3797</v>
      </c>
      <c r="G1401" s="38"/>
      <c r="H1401" s="38" t="s">
        <v>2129</v>
      </c>
      <c r="I1401" s="38" t="s">
        <v>2124</v>
      </c>
      <c r="J1401" s="38"/>
      <c r="K1401" s="38" t="s">
        <v>2533</v>
      </c>
      <c r="L1401" s="38" t="s">
        <v>2130</v>
      </c>
      <c r="M1401" s="38">
        <v>1</v>
      </c>
      <c r="N1401" s="38"/>
      <c r="O1401" s="10"/>
      <c r="P1401" s="25" t="str">
        <f>HYPERLINK("http://biade.itrust.de/biade/lpext.dll?f=id&amp;id=biadb%3Ar%3A510342&amp;t=main-h.htm","510342")</f>
        <v>510342</v>
      </c>
    </row>
    <row r="1402" spans="1:16" ht="15" customHeight="1">
      <c r="A1402" s="49" t="s">
        <v>1333</v>
      </c>
      <c r="B1402" s="7" t="s">
        <v>1334</v>
      </c>
      <c r="C1402" s="51" t="s">
        <v>1335</v>
      </c>
      <c r="D1402" s="49"/>
      <c r="E1402" s="47"/>
      <c r="F1402" s="47"/>
      <c r="G1402" s="47"/>
      <c r="H1402" s="47" t="s">
        <v>2123</v>
      </c>
      <c r="I1402" s="47" t="s">
        <v>2124</v>
      </c>
      <c r="J1402" s="47"/>
      <c r="K1402" s="47"/>
      <c r="L1402" s="47" t="s">
        <v>2125</v>
      </c>
      <c r="M1402" s="47">
        <v>1</v>
      </c>
      <c r="N1402" s="47"/>
      <c r="O1402" s="49"/>
      <c r="P1402" s="51"/>
    </row>
    <row r="1403" spans="1:16" ht="15.75" thickBot="1">
      <c r="A1403" s="50"/>
      <c r="B1403" s="10" t="s">
        <v>3595</v>
      </c>
      <c r="C1403" s="52"/>
      <c r="D1403" s="50"/>
      <c r="E1403" s="48"/>
      <c r="F1403" s="48"/>
      <c r="G1403" s="48"/>
      <c r="H1403" s="48"/>
      <c r="I1403" s="48"/>
      <c r="J1403" s="48"/>
      <c r="K1403" s="48"/>
      <c r="L1403" s="48"/>
      <c r="M1403" s="48"/>
      <c r="N1403" s="48"/>
      <c r="O1403" s="50"/>
      <c r="P1403" s="52"/>
    </row>
    <row r="1404" spans="1:16" ht="22.5" customHeight="1">
      <c r="A1404" s="49" t="s">
        <v>1336</v>
      </c>
      <c r="B1404" s="49" t="s">
        <v>1033</v>
      </c>
      <c r="C1404" s="51" t="s">
        <v>587</v>
      </c>
      <c r="D1404" s="49"/>
      <c r="E1404" s="47">
        <v>10</v>
      </c>
      <c r="F1404" s="47"/>
      <c r="G1404" s="47"/>
      <c r="H1404" s="47" t="s">
        <v>500</v>
      </c>
      <c r="I1404" s="39">
        <v>270</v>
      </c>
      <c r="J1404" s="47">
        <v>1</v>
      </c>
      <c r="K1404" s="47" t="s">
        <v>2188</v>
      </c>
      <c r="L1404" s="47" t="s">
        <v>2130</v>
      </c>
      <c r="M1404" s="47">
        <v>1</v>
      </c>
      <c r="N1404" s="47"/>
      <c r="O1404" s="49"/>
      <c r="P1404" s="51"/>
    </row>
    <row r="1405" spans="1:16" ht="15.75" thickBot="1">
      <c r="A1405" s="50"/>
      <c r="B1405" s="50"/>
      <c r="C1405" s="52"/>
      <c r="D1405" s="50"/>
      <c r="E1405" s="48"/>
      <c r="F1405" s="48"/>
      <c r="G1405" s="48"/>
      <c r="H1405" s="48"/>
      <c r="I1405" s="38">
        <v>50</v>
      </c>
      <c r="J1405" s="48"/>
      <c r="K1405" s="48"/>
      <c r="L1405" s="48"/>
      <c r="M1405" s="48"/>
      <c r="N1405" s="48"/>
      <c r="O1405" s="50"/>
      <c r="P1405" s="52"/>
    </row>
    <row r="1406" spans="1:16" ht="15.75" thickBot="1">
      <c r="A1406" s="6" t="s">
        <v>1337</v>
      </c>
      <c r="B1406" s="10" t="s">
        <v>1338</v>
      </c>
      <c r="C1406" s="11" t="s">
        <v>1339</v>
      </c>
      <c r="D1406" s="10" t="s">
        <v>2470</v>
      </c>
      <c r="E1406" s="38" t="s">
        <v>1340</v>
      </c>
      <c r="F1406" s="38" t="s">
        <v>1231</v>
      </c>
      <c r="G1406" s="38" t="s">
        <v>1341</v>
      </c>
      <c r="H1406" s="38" t="s">
        <v>1232</v>
      </c>
      <c r="I1406" s="38" t="s">
        <v>2124</v>
      </c>
      <c r="J1406" s="38"/>
      <c r="K1406" s="38" t="s">
        <v>2187</v>
      </c>
      <c r="L1406" s="38" t="s">
        <v>2202</v>
      </c>
      <c r="M1406" s="38">
        <v>3</v>
      </c>
      <c r="N1406" s="38"/>
      <c r="O1406" s="10"/>
      <c r="P1406" s="25" t="str">
        <f>HYPERLINK("http://biade.itrust.de/biade/lpext.dll?f=id&amp;id=biadb%3Ar%3A012010&amp;t=main-h.htm","12010")</f>
        <v>12010</v>
      </c>
    </row>
    <row r="1407" spans="1:16" ht="15.75" thickBot="1">
      <c r="A1407" s="6" t="s">
        <v>1342</v>
      </c>
      <c r="B1407" s="10"/>
      <c r="C1407" s="11" t="s">
        <v>1343</v>
      </c>
      <c r="D1407" s="10" t="s">
        <v>3778</v>
      </c>
      <c r="E1407" s="38" t="s">
        <v>1344</v>
      </c>
      <c r="F1407" s="38" t="s">
        <v>1345</v>
      </c>
      <c r="G1407" s="38"/>
      <c r="H1407" s="38" t="s">
        <v>2164</v>
      </c>
      <c r="I1407" s="38" t="s">
        <v>2124</v>
      </c>
      <c r="J1407" s="38"/>
      <c r="K1407" s="38" t="s">
        <v>2533</v>
      </c>
      <c r="L1407" s="38" t="s">
        <v>2130</v>
      </c>
      <c r="M1407" s="38">
        <v>2</v>
      </c>
      <c r="N1407" s="38" t="s">
        <v>2786</v>
      </c>
      <c r="O1407" s="10"/>
      <c r="P1407" s="25" t="str">
        <f>HYPERLINK("http://biade.itrust.de/biade/lpext.dll?f=id&amp;id=biadb%3Ar%3A013850&amp;t=main-h.htm","13850")</f>
        <v>13850</v>
      </c>
    </row>
    <row r="1408" spans="1:16" ht="15" customHeight="1">
      <c r="A1408" s="49" t="s">
        <v>2196</v>
      </c>
      <c r="B1408" s="49"/>
      <c r="C1408" s="51" t="s">
        <v>1346</v>
      </c>
      <c r="D1408" s="49" t="s">
        <v>828</v>
      </c>
      <c r="E1408" s="47" t="s">
        <v>1347</v>
      </c>
      <c r="F1408" s="47" t="s">
        <v>2154</v>
      </c>
      <c r="G1408" s="47" t="s">
        <v>1348</v>
      </c>
      <c r="H1408" s="47" t="s">
        <v>2567</v>
      </c>
      <c r="I1408" s="39">
        <v>0.1</v>
      </c>
      <c r="J1408" s="47">
        <v>8</v>
      </c>
      <c r="K1408" s="47" t="s">
        <v>2189</v>
      </c>
      <c r="L1408" s="47" t="s">
        <v>2195</v>
      </c>
      <c r="M1408" s="47">
        <v>3</v>
      </c>
      <c r="N1408" s="47"/>
      <c r="O1408" s="49"/>
      <c r="P1408" s="51"/>
    </row>
    <row r="1409" spans="1:16" ht="15.75" thickBot="1">
      <c r="A1409" s="50"/>
      <c r="B1409" s="50"/>
      <c r="C1409" s="52"/>
      <c r="D1409" s="50"/>
      <c r="E1409" s="48"/>
      <c r="F1409" s="48"/>
      <c r="G1409" s="48"/>
      <c r="H1409" s="48"/>
      <c r="I1409" s="38" t="s">
        <v>2124</v>
      </c>
      <c r="J1409" s="48"/>
      <c r="K1409" s="48"/>
      <c r="L1409" s="48"/>
      <c r="M1409" s="48"/>
      <c r="N1409" s="48"/>
      <c r="O1409" s="50"/>
      <c r="P1409" s="52"/>
    </row>
    <row r="1410" spans="1:16" ht="22.5" customHeight="1">
      <c r="A1410" s="49" t="s">
        <v>1349</v>
      </c>
      <c r="B1410" s="49" t="s">
        <v>1350</v>
      </c>
      <c r="C1410" s="51" t="s">
        <v>1351</v>
      </c>
      <c r="D1410" s="49" t="s">
        <v>3961</v>
      </c>
      <c r="E1410" s="47" t="s">
        <v>3029</v>
      </c>
      <c r="F1410" s="47" t="s">
        <v>1352</v>
      </c>
      <c r="G1410" s="47" t="s">
        <v>2183</v>
      </c>
      <c r="H1410" s="47" t="s">
        <v>2164</v>
      </c>
      <c r="I1410" s="39" t="s">
        <v>3611</v>
      </c>
      <c r="J1410" s="47">
        <v>8</v>
      </c>
      <c r="K1410" s="47"/>
      <c r="L1410" s="47" t="s">
        <v>2197</v>
      </c>
      <c r="M1410" s="47">
        <v>3</v>
      </c>
      <c r="N1410" s="47"/>
      <c r="O1410" s="49"/>
      <c r="P1410" s="51"/>
    </row>
    <row r="1411" spans="1:16" ht="15.75" thickBot="1">
      <c r="A1411" s="50"/>
      <c r="B1411" s="50"/>
      <c r="C1411" s="52"/>
      <c r="D1411" s="50"/>
      <c r="E1411" s="48"/>
      <c r="F1411" s="48"/>
      <c r="G1411" s="48"/>
      <c r="H1411" s="48"/>
      <c r="I1411" s="38" t="s">
        <v>2124</v>
      </c>
      <c r="J1411" s="48"/>
      <c r="K1411" s="48"/>
      <c r="L1411" s="48"/>
      <c r="M1411" s="48"/>
      <c r="N1411" s="48"/>
      <c r="O1411" s="50"/>
      <c r="P1411" s="52"/>
    </row>
    <row r="1412" spans="1:16" ht="15">
      <c r="A1412" s="49" t="s">
        <v>1353</v>
      </c>
      <c r="B1412" s="49" t="s">
        <v>1248</v>
      </c>
      <c r="C1412" s="51" t="s">
        <v>1354</v>
      </c>
      <c r="D1412" s="49" t="s">
        <v>828</v>
      </c>
      <c r="E1412" s="47" t="s">
        <v>2066</v>
      </c>
      <c r="F1412" s="47" t="s">
        <v>1355</v>
      </c>
      <c r="G1412" s="47" t="s">
        <v>2183</v>
      </c>
      <c r="H1412" s="47" t="s">
        <v>1224</v>
      </c>
      <c r="I1412" s="39" t="s">
        <v>3611</v>
      </c>
      <c r="J1412" s="47">
        <v>8</v>
      </c>
      <c r="K1412" s="47" t="s">
        <v>2189</v>
      </c>
      <c r="L1412" s="47" t="s">
        <v>2197</v>
      </c>
      <c r="M1412" s="47">
        <v>3</v>
      </c>
      <c r="N1412" s="47"/>
      <c r="O1412" s="49"/>
      <c r="P1412" s="51"/>
    </row>
    <row r="1413" spans="1:16" ht="15.75" thickBot="1">
      <c r="A1413" s="50"/>
      <c r="B1413" s="50"/>
      <c r="C1413" s="52"/>
      <c r="D1413" s="50"/>
      <c r="E1413" s="48"/>
      <c r="F1413" s="48"/>
      <c r="G1413" s="48"/>
      <c r="H1413" s="48"/>
      <c r="I1413" s="38" t="s">
        <v>2124</v>
      </c>
      <c r="J1413" s="48"/>
      <c r="K1413" s="48"/>
      <c r="L1413" s="48"/>
      <c r="M1413" s="48"/>
      <c r="N1413" s="48"/>
      <c r="O1413" s="50"/>
      <c r="P1413" s="52"/>
    </row>
    <row r="1414" spans="1:16" ht="15">
      <c r="A1414" s="49" t="s">
        <v>1356</v>
      </c>
      <c r="B1414" s="49"/>
      <c r="C1414" s="51" t="s">
        <v>1357</v>
      </c>
      <c r="D1414" s="49" t="s">
        <v>828</v>
      </c>
      <c r="E1414" s="47" t="s">
        <v>2066</v>
      </c>
      <c r="F1414" s="47" t="s">
        <v>3146</v>
      </c>
      <c r="G1414" s="47" t="s">
        <v>2183</v>
      </c>
      <c r="H1414" s="47" t="s">
        <v>1224</v>
      </c>
      <c r="I1414" s="39" t="s">
        <v>3611</v>
      </c>
      <c r="J1414" s="47">
        <v>8</v>
      </c>
      <c r="K1414" s="47" t="s">
        <v>2189</v>
      </c>
      <c r="L1414" s="47" t="s">
        <v>2197</v>
      </c>
      <c r="M1414" s="47">
        <v>3</v>
      </c>
      <c r="N1414" s="47" t="s">
        <v>1358</v>
      </c>
      <c r="O1414" s="49"/>
      <c r="P1414" s="51"/>
    </row>
    <row r="1415" spans="1:16" ht="15.75" thickBot="1">
      <c r="A1415" s="50"/>
      <c r="B1415" s="50"/>
      <c r="C1415" s="52"/>
      <c r="D1415" s="50"/>
      <c r="E1415" s="48"/>
      <c r="F1415" s="48"/>
      <c r="G1415" s="48"/>
      <c r="H1415" s="48"/>
      <c r="I1415" s="38" t="s">
        <v>2124</v>
      </c>
      <c r="J1415" s="48"/>
      <c r="K1415" s="48"/>
      <c r="L1415" s="48"/>
      <c r="M1415" s="48"/>
      <c r="N1415" s="48"/>
      <c r="O1415" s="50"/>
      <c r="P1415" s="52"/>
    </row>
    <row r="1416" spans="1:16" ht="15" customHeight="1">
      <c r="A1416" s="49" t="s">
        <v>1359</v>
      </c>
      <c r="B1416" s="49"/>
      <c r="C1416" s="51" t="s">
        <v>1360</v>
      </c>
      <c r="D1416" s="49" t="s">
        <v>828</v>
      </c>
      <c r="E1416" s="47" t="s">
        <v>1361</v>
      </c>
      <c r="F1416" s="47" t="s">
        <v>1362</v>
      </c>
      <c r="G1416" s="47" t="s">
        <v>1363</v>
      </c>
      <c r="H1416" s="47" t="s">
        <v>1224</v>
      </c>
      <c r="I1416" s="39" t="s">
        <v>3611</v>
      </c>
      <c r="J1416" s="47">
        <v>8</v>
      </c>
      <c r="K1416" s="47" t="s">
        <v>2189</v>
      </c>
      <c r="L1416" s="47" t="s">
        <v>2197</v>
      </c>
      <c r="M1416" s="47">
        <v>3</v>
      </c>
      <c r="N1416" s="47"/>
      <c r="O1416" s="49"/>
      <c r="P1416" s="51"/>
    </row>
    <row r="1417" spans="1:16" ht="15.75" thickBot="1">
      <c r="A1417" s="50"/>
      <c r="B1417" s="50"/>
      <c r="C1417" s="52"/>
      <c r="D1417" s="50"/>
      <c r="E1417" s="48"/>
      <c r="F1417" s="48"/>
      <c r="G1417" s="48"/>
      <c r="H1417" s="48"/>
      <c r="I1417" s="38" t="s">
        <v>2124</v>
      </c>
      <c r="J1417" s="48"/>
      <c r="K1417" s="48"/>
      <c r="L1417" s="48"/>
      <c r="M1417" s="48"/>
      <c r="N1417" s="48"/>
      <c r="O1417" s="50"/>
      <c r="P1417" s="52"/>
    </row>
    <row r="1418" spans="1:16" ht="15">
      <c r="A1418" s="49" t="s">
        <v>1364</v>
      </c>
      <c r="B1418" s="49"/>
      <c r="C1418" s="51" t="s">
        <v>1365</v>
      </c>
      <c r="D1418" s="49" t="s">
        <v>828</v>
      </c>
      <c r="E1418" s="47" t="s">
        <v>2066</v>
      </c>
      <c r="F1418" s="47" t="s">
        <v>3146</v>
      </c>
      <c r="G1418" s="47" t="s">
        <v>2183</v>
      </c>
      <c r="H1418" s="47" t="s">
        <v>1224</v>
      </c>
      <c r="I1418" s="39" t="s">
        <v>3611</v>
      </c>
      <c r="J1418" s="47">
        <v>8</v>
      </c>
      <c r="K1418" s="47" t="s">
        <v>2189</v>
      </c>
      <c r="L1418" s="47" t="s">
        <v>2197</v>
      </c>
      <c r="M1418" s="47">
        <v>3</v>
      </c>
      <c r="N1418" s="47" t="s">
        <v>3147</v>
      </c>
      <c r="O1418" s="49"/>
      <c r="P1418" s="51"/>
    </row>
    <row r="1419" spans="1:16" ht="15.75" thickBot="1">
      <c r="A1419" s="50"/>
      <c r="B1419" s="50"/>
      <c r="C1419" s="52"/>
      <c r="D1419" s="50"/>
      <c r="E1419" s="48"/>
      <c r="F1419" s="48"/>
      <c r="G1419" s="48"/>
      <c r="H1419" s="48"/>
      <c r="I1419" s="38" t="s">
        <v>2124</v>
      </c>
      <c r="J1419" s="48"/>
      <c r="K1419" s="48"/>
      <c r="L1419" s="48"/>
      <c r="M1419" s="48"/>
      <c r="N1419" s="48"/>
      <c r="O1419" s="50"/>
      <c r="P1419" s="52"/>
    </row>
    <row r="1420" spans="1:16" ht="15">
      <c r="A1420" s="15" t="s">
        <v>1366</v>
      </c>
      <c r="B1420" s="49"/>
      <c r="C1420" s="51" t="s">
        <v>3145</v>
      </c>
      <c r="D1420" s="49" t="s">
        <v>828</v>
      </c>
      <c r="E1420" s="47" t="s">
        <v>2066</v>
      </c>
      <c r="F1420" s="47" t="s">
        <v>3146</v>
      </c>
      <c r="G1420" s="47" t="s">
        <v>2183</v>
      </c>
      <c r="H1420" s="47" t="s">
        <v>1224</v>
      </c>
      <c r="I1420" s="42" t="s">
        <v>3611</v>
      </c>
      <c r="J1420" s="47">
        <v>8</v>
      </c>
      <c r="K1420" s="47" t="s">
        <v>2189</v>
      </c>
      <c r="L1420" s="47" t="s">
        <v>2197</v>
      </c>
      <c r="M1420" s="47">
        <v>3</v>
      </c>
      <c r="N1420" s="47" t="s">
        <v>3147</v>
      </c>
      <c r="O1420" s="49"/>
      <c r="P1420" s="51"/>
    </row>
    <row r="1421" spans="1:16" ht="15.75" thickBot="1">
      <c r="A1421" s="6" t="s">
        <v>3996</v>
      </c>
      <c r="B1421" s="50"/>
      <c r="C1421" s="52"/>
      <c r="D1421" s="50"/>
      <c r="E1421" s="48"/>
      <c r="F1421" s="48"/>
      <c r="G1421" s="48"/>
      <c r="H1421" s="48"/>
      <c r="I1421" s="38" t="s">
        <v>2124</v>
      </c>
      <c r="J1421" s="48"/>
      <c r="K1421" s="48"/>
      <c r="L1421" s="48"/>
      <c r="M1421" s="48"/>
      <c r="N1421" s="48"/>
      <c r="O1421" s="50"/>
      <c r="P1421" s="52"/>
    </row>
    <row r="1422" spans="1:16" ht="15">
      <c r="A1422" s="49" t="s">
        <v>1367</v>
      </c>
      <c r="B1422" s="49"/>
      <c r="C1422" s="51" t="s">
        <v>1368</v>
      </c>
      <c r="D1422" s="49" t="s">
        <v>828</v>
      </c>
      <c r="E1422" s="47" t="s">
        <v>2066</v>
      </c>
      <c r="F1422" s="47" t="s">
        <v>3146</v>
      </c>
      <c r="G1422" s="47" t="s">
        <v>2183</v>
      </c>
      <c r="H1422" s="47" t="s">
        <v>1224</v>
      </c>
      <c r="I1422" s="39" t="s">
        <v>3611</v>
      </c>
      <c r="J1422" s="47">
        <v>8</v>
      </c>
      <c r="K1422" s="47" t="s">
        <v>2157</v>
      </c>
      <c r="L1422" s="47" t="s">
        <v>2197</v>
      </c>
      <c r="M1422" s="47">
        <v>3</v>
      </c>
      <c r="N1422" s="47" t="s">
        <v>3147</v>
      </c>
      <c r="O1422" s="49"/>
      <c r="P1422" s="51"/>
    </row>
    <row r="1423" spans="1:16" ht="15.75" thickBot="1">
      <c r="A1423" s="50"/>
      <c r="B1423" s="50"/>
      <c r="C1423" s="52"/>
      <c r="D1423" s="50"/>
      <c r="E1423" s="48"/>
      <c r="F1423" s="48"/>
      <c r="G1423" s="48"/>
      <c r="H1423" s="48"/>
      <c r="I1423" s="38" t="s">
        <v>2124</v>
      </c>
      <c r="J1423" s="48"/>
      <c r="K1423" s="48"/>
      <c r="L1423" s="48"/>
      <c r="M1423" s="48"/>
      <c r="N1423" s="48"/>
      <c r="O1423" s="50"/>
      <c r="P1423" s="52"/>
    </row>
    <row r="1424" spans="1:16" ht="15">
      <c r="A1424" s="49" t="s">
        <v>1369</v>
      </c>
      <c r="B1424" s="7" t="s">
        <v>1370</v>
      </c>
      <c r="C1424" s="51" t="s">
        <v>1371</v>
      </c>
      <c r="D1424" s="49"/>
      <c r="E1424" s="47"/>
      <c r="F1424" s="47"/>
      <c r="G1424" s="47"/>
      <c r="H1424" s="47" t="s">
        <v>2123</v>
      </c>
      <c r="I1424" s="39" t="s">
        <v>3611</v>
      </c>
      <c r="J1424" s="47">
        <v>8</v>
      </c>
      <c r="K1424" s="47"/>
      <c r="L1424" s="47" t="s">
        <v>2197</v>
      </c>
      <c r="M1424" s="47">
        <v>3</v>
      </c>
      <c r="N1424" s="47"/>
      <c r="O1424" s="49"/>
      <c r="P1424" s="51"/>
    </row>
    <row r="1425" spans="1:16" ht="15.75" thickBot="1">
      <c r="A1425" s="50"/>
      <c r="B1425" s="10" t="s">
        <v>1256</v>
      </c>
      <c r="C1425" s="52"/>
      <c r="D1425" s="50"/>
      <c r="E1425" s="48"/>
      <c r="F1425" s="48"/>
      <c r="G1425" s="48"/>
      <c r="H1425" s="48"/>
      <c r="I1425" s="38" t="s">
        <v>2124</v>
      </c>
      <c r="J1425" s="48"/>
      <c r="K1425" s="48"/>
      <c r="L1425" s="48"/>
      <c r="M1425" s="48"/>
      <c r="N1425" s="48"/>
      <c r="O1425" s="50"/>
      <c r="P1425" s="52"/>
    </row>
    <row r="1426" spans="1:16" ht="15">
      <c r="A1426" s="49" t="s">
        <v>1372</v>
      </c>
      <c r="B1426" s="49" t="s">
        <v>1373</v>
      </c>
      <c r="C1426" s="51" t="s">
        <v>1374</v>
      </c>
      <c r="D1426" s="49" t="s">
        <v>798</v>
      </c>
      <c r="E1426" s="47" t="s">
        <v>1375</v>
      </c>
      <c r="F1426" s="47" t="s">
        <v>1376</v>
      </c>
      <c r="G1426" s="47" t="s">
        <v>2183</v>
      </c>
      <c r="H1426" s="47" t="s">
        <v>3460</v>
      </c>
      <c r="I1426" s="39" t="s">
        <v>3611</v>
      </c>
      <c r="J1426" s="47">
        <v>8</v>
      </c>
      <c r="K1426" s="47" t="s">
        <v>2187</v>
      </c>
      <c r="L1426" s="47" t="s">
        <v>2200</v>
      </c>
      <c r="M1426" s="47"/>
      <c r="N1426" s="47"/>
      <c r="O1426" s="49"/>
      <c r="P1426" s="51"/>
    </row>
    <row r="1427" spans="1:16" ht="15.75" thickBot="1">
      <c r="A1427" s="50"/>
      <c r="B1427" s="50"/>
      <c r="C1427" s="52"/>
      <c r="D1427" s="50"/>
      <c r="E1427" s="48"/>
      <c r="F1427" s="48"/>
      <c r="G1427" s="48"/>
      <c r="H1427" s="48"/>
      <c r="I1427" s="38" t="s">
        <v>2124</v>
      </c>
      <c r="J1427" s="48"/>
      <c r="K1427" s="48"/>
      <c r="L1427" s="48"/>
      <c r="M1427" s="48"/>
      <c r="N1427" s="48"/>
      <c r="O1427" s="50"/>
      <c r="P1427" s="52"/>
    </row>
    <row r="1428" spans="1:16" ht="15">
      <c r="A1428" s="5" t="s">
        <v>1377</v>
      </c>
      <c r="B1428" s="49" t="s">
        <v>2074</v>
      </c>
      <c r="C1428" s="51" t="s">
        <v>1378</v>
      </c>
      <c r="D1428" s="49" t="s">
        <v>2134</v>
      </c>
      <c r="E1428" s="47" t="s">
        <v>2162</v>
      </c>
      <c r="F1428" s="47">
        <v>26</v>
      </c>
      <c r="G1428" s="47"/>
      <c r="H1428" s="47" t="s">
        <v>2164</v>
      </c>
      <c r="I1428" s="47" t="s">
        <v>2124</v>
      </c>
      <c r="J1428" s="47"/>
      <c r="K1428" s="47"/>
      <c r="L1428" s="47" t="s">
        <v>2165</v>
      </c>
      <c r="M1428" s="47" t="s">
        <v>2849</v>
      </c>
      <c r="N1428" s="47"/>
      <c r="O1428" s="49"/>
      <c r="P1428" s="51"/>
    </row>
    <row r="1429" spans="1:16" ht="15.75" thickBot="1">
      <c r="A1429" s="6" t="s">
        <v>4089</v>
      </c>
      <c r="B1429" s="50"/>
      <c r="C1429" s="52"/>
      <c r="D1429" s="50"/>
      <c r="E1429" s="48"/>
      <c r="F1429" s="48"/>
      <c r="G1429" s="48"/>
      <c r="H1429" s="48"/>
      <c r="I1429" s="48"/>
      <c r="J1429" s="48"/>
      <c r="K1429" s="48"/>
      <c r="L1429" s="48"/>
      <c r="M1429" s="48"/>
      <c r="N1429" s="48"/>
      <c r="O1429" s="50"/>
      <c r="P1429" s="52"/>
    </row>
    <row r="1430" spans="1:16" ht="22.5" customHeight="1">
      <c r="A1430" s="49" t="s">
        <v>1969</v>
      </c>
      <c r="B1430" s="49" t="s">
        <v>945</v>
      </c>
      <c r="C1430" s="51" t="s">
        <v>1970</v>
      </c>
      <c r="D1430" s="49" t="s">
        <v>3961</v>
      </c>
      <c r="E1430" s="47" t="s">
        <v>1971</v>
      </c>
      <c r="F1430" s="47" t="s">
        <v>2964</v>
      </c>
      <c r="G1430" s="47" t="s">
        <v>2183</v>
      </c>
      <c r="H1430" s="47" t="s">
        <v>2129</v>
      </c>
      <c r="I1430" s="39" t="s">
        <v>1973</v>
      </c>
      <c r="J1430" s="47">
        <v>1</v>
      </c>
      <c r="K1430" s="47"/>
      <c r="L1430" s="47" t="s">
        <v>2165</v>
      </c>
      <c r="M1430" s="47">
        <v>1</v>
      </c>
      <c r="N1430" s="47" t="s">
        <v>562</v>
      </c>
      <c r="O1430" s="49"/>
      <c r="P1430" s="51"/>
    </row>
    <row r="1431" spans="1:16" ht="15.75" thickBot="1">
      <c r="A1431" s="50"/>
      <c r="B1431" s="50"/>
      <c r="C1431" s="52"/>
      <c r="D1431" s="50"/>
      <c r="E1431" s="48"/>
      <c r="F1431" s="48"/>
      <c r="G1431" s="48"/>
      <c r="H1431" s="48"/>
      <c r="I1431" s="38">
        <v>4</v>
      </c>
      <c r="J1431" s="48"/>
      <c r="K1431" s="48"/>
      <c r="L1431" s="48"/>
      <c r="M1431" s="48"/>
      <c r="N1431" s="48"/>
      <c r="O1431" s="50"/>
      <c r="P1431" s="52"/>
    </row>
    <row r="1432" spans="1:16" ht="15">
      <c r="A1432" s="49" t="s">
        <v>1379</v>
      </c>
      <c r="B1432" s="7" t="s">
        <v>1380</v>
      </c>
      <c r="C1432" s="51" t="s">
        <v>1381</v>
      </c>
      <c r="D1432" s="49" t="s">
        <v>2134</v>
      </c>
      <c r="E1432" s="47" t="s">
        <v>1382</v>
      </c>
      <c r="F1432" s="47" t="s">
        <v>1383</v>
      </c>
      <c r="G1432" s="47"/>
      <c r="H1432" s="47" t="s">
        <v>2164</v>
      </c>
      <c r="I1432" s="47" t="s">
        <v>2124</v>
      </c>
      <c r="J1432" s="47"/>
      <c r="K1432" s="47"/>
      <c r="L1432" s="47" t="s">
        <v>2130</v>
      </c>
      <c r="M1432" s="47">
        <v>2</v>
      </c>
      <c r="N1432" s="47" t="s">
        <v>1384</v>
      </c>
      <c r="O1432" s="49"/>
      <c r="P1432" s="51"/>
    </row>
    <row r="1433" spans="1:16" ht="15.75" thickBot="1">
      <c r="A1433" s="50"/>
      <c r="B1433" s="10" t="s">
        <v>1262</v>
      </c>
      <c r="C1433" s="52"/>
      <c r="D1433" s="50"/>
      <c r="E1433" s="48"/>
      <c r="F1433" s="48"/>
      <c r="G1433" s="48"/>
      <c r="H1433" s="48"/>
      <c r="I1433" s="48"/>
      <c r="J1433" s="48"/>
      <c r="K1433" s="48"/>
      <c r="L1433" s="48"/>
      <c r="M1433" s="48"/>
      <c r="N1433" s="48"/>
      <c r="O1433" s="50"/>
      <c r="P1433" s="52"/>
    </row>
    <row r="1434" spans="1:16" ht="15.75" thickBot="1">
      <c r="A1434" s="21" t="s">
        <v>1385</v>
      </c>
      <c r="B1434" s="22" t="s">
        <v>1386</v>
      </c>
      <c r="C1434" s="23" t="s">
        <v>1387</v>
      </c>
      <c r="D1434" s="22" t="s">
        <v>2128</v>
      </c>
      <c r="E1434" s="43" t="s">
        <v>355</v>
      </c>
      <c r="F1434" s="43" t="s">
        <v>1388</v>
      </c>
      <c r="G1434" s="43"/>
      <c r="H1434" s="43" t="s">
        <v>2164</v>
      </c>
      <c r="I1434" s="43" t="s">
        <v>2124</v>
      </c>
      <c r="J1434" s="43"/>
      <c r="K1434" s="43"/>
      <c r="L1434" s="43" t="s">
        <v>2203</v>
      </c>
      <c r="M1434" s="43"/>
      <c r="N1434" s="43" t="s">
        <v>4001</v>
      </c>
      <c r="O1434" s="22"/>
      <c r="P1434" s="35" t="str">
        <f>HYPERLINK("http://biade.itrust.de/biade/lpext.dll?f=id&amp;id=biadb%3Ar%3A004360&amp;t=main-h.htm","4360")</f>
        <v>4360</v>
      </c>
    </row>
    <row r="1435" spans="1:16" ht="15.75" thickBot="1">
      <c r="A1435" s="6" t="s">
        <v>1389</v>
      </c>
      <c r="B1435" s="10" t="s">
        <v>1907</v>
      </c>
      <c r="C1435" s="11" t="s">
        <v>1390</v>
      </c>
      <c r="D1435" s="10" t="s">
        <v>3795</v>
      </c>
      <c r="E1435" s="38" t="s">
        <v>218</v>
      </c>
      <c r="F1435" s="38" t="s">
        <v>1391</v>
      </c>
      <c r="G1435" s="38"/>
      <c r="H1435" s="38" t="s">
        <v>1392</v>
      </c>
      <c r="I1435" s="38" t="s">
        <v>2124</v>
      </c>
      <c r="J1435" s="38"/>
      <c r="K1435" s="38"/>
      <c r="L1435" s="38" t="s">
        <v>2198</v>
      </c>
      <c r="M1435" s="38"/>
      <c r="N1435" s="38"/>
      <c r="O1435" s="10"/>
      <c r="P1435" s="25" t="str">
        <f>HYPERLINK("http://biade.itrust.de/biade/lpext.dll?f=id&amp;id=biadb%3Ar%3A007370&amp;t=main-h.htm","7370")</f>
        <v>7370</v>
      </c>
    </row>
    <row r="1436" spans="1:16" ht="15.75" thickBot="1">
      <c r="A1436" s="6" t="s">
        <v>1393</v>
      </c>
      <c r="B1436" s="10" t="s">
        <v>2121</v>
      </c>
      <c r="C1436" s="11" t="s">
        <v>1394</v>
      </c>
      <c r="D1436" s="10"/>
      <c r="E1436" s="38"/>
      <c r="F1436" s="38"/>
      <c r="G1436" s="38"/>
      <c r="H1436" s="38" t="s">
        <v>2123</v>
      </c>
      <c r="I1436" s="38" t="s">
        <v>2124</v>
      </c>
      <c r="J1436" s="38"/>
      <c r="K1436" s="38"/>
      <c r="L1436" s="38" t="s">
        <v>2125</v>
      </c>
      <c r="M1436" s="38">
        <v>1</v>
      </c>
      <c r="N1436" s="38"/>
      <c r="O1436" s="10"/>
      <c r="P1436" s="11"/>
    </row>
    <row r="1437" spans="1:16" ht="15">
      <c r="A1437" s="49" t="s">
        <v>1395</v>
      </c>
      <c r="B1437" s="7" t="s">
        <v>1396</v>
      </c>
      <c r="C1437" s="51" t="s">
        <v>1397</v>
      </c>
      <c r="D1437" s="49"/>
      <c r="E1437" s="47"/>
      <c r="F1437" s="47"/>
      <c r="G1437" s="47"/>
      <c r="H1437" s="47" t="s">
        <v>2123</v>
      </c>
      <c r="I1437" s="47" t="s">
        <v>2124</v>
      </c>
      <c r="J1437" s="47"/>
      <c r="K1437" s="47"/>
      <c r="L1437" s="47" t="s">
        <v>2125</v>
      </c>
      <c r="M1437" s="47" t="s">
        <v>2221</v>
      </c>
      <c r="N1437" s="47"/>
      <c r="O1437" s="49"/>
      <c r="P1437" s="51"/>
    </row>
    <row r="1438" spans="1:16" ht="15.75" thickBot="1">
      <c r="A1438" s="50"/>
      <c r="B1438" s="10" t="s">
        <v>1262</v>
      </c>
      <c r="C1438" s="52"/>
      <c r="D1438" s="50"/>
      <c r="E1438" s="48"/>
      <c r="F1438" s="48"/>
      <c r="G1438" s="48"/>
      <c r="H1438" s="48"/>
      <c r="I1438" s="48"/>
      <c r="J1438" s="48"/>
      <c r="K1438" s="48"/>
      <c r="L1438" s="48"/>
      <c r="M1438" s="48"/>
      <c r="N1438" s="48"/>
      <c r="O1438" s="50"/>
      <c r="P1438" s="52"/>
    </row>
    <row r="1439" spans="1:16" ht="15">
      <c r="A1439" s="49" t="s">
        <v>1398</v>
      </c>
      <c r="B1439" s="7" t="s">
        <v>1399</v>
      </c>
      <c r="C1439" s="51" t="s">
        <v>1400</v>
      </c>
      <c r="D1439" s="49" t="s">
        <v>2134</v>
      </c>
      <c r="E1439" s="47" t="s">
        <v>2135</v>
      </c>
      <c r="F1439" s="47" t="s">
        <v>4026</v>
      </c>
      <c r="G1439" s="47"/>
      <c r="H1439" s="47" t="s">
        <v>2164</v>
      </c>
      <c r="I1439" s="47" t="s">
        <v>2124</v>
      </c>
      <c r="J1439" s="47"/>
      <c r="K1439" s="47"/>
      <c r="L1439" s="47" t="s">
        <v>2165</v>
      </c>
      <c r="M1439" s="47">
        <v>2</v>
      </c>
      <c r="N1439" s="47"/>
      <c r="O1439" s="49"/>
      <c r="P1439" s="51"/>
    </row>
    <row r="1440" spans="1:16" ht="15.75" thickBot="1">
      <c r="A1440" s="50"/>
      <c r="B1440" s="10" t="s">
        <v>3595</v>
      </c>
      <c r="C1440" s="52"/>
      <c r="D1440" s="50"/>
      <c r="E1440" s="48"/>
      <c r="F1440" s="48"/>
      <c r="G1440" s="48"/>
      <c r="H1440" s="48"/>
      <c r="I1440" s="48"/>
      <c r="J1440" s="48"/>
      <c r="K1440" s="48"/>
      <c r="L1440" s="48"/>
      <c r="M1440" s="48"/>
      <c r="N1440" s="48"/>
      <c r="O1440" s="50"/>
      <c r="P1440" s="52"/>
    </row>
    <row r="1441" spans="1:16" ht="15">
      <c r="A1441" s="49" t="s">
        <v>1401</v>
      </c>
      <c r="B1441" s="7" t="s">
        <v>1032</v>
      </c>
      <c r="C1441" s="51" t="s">
        <v>1403</v>
      </c>
      <c r="D1441" s="49" t="s">
        <v>2128</v>
      </c>
      <c r="E1441" s="47" t="s">
        <v>2699</v>
      </c>
      <c r="F1441" s="47" t="s">
        <v>3987</v>
      </c>
      <c r="G1441" s="47"/>
      <c r="H1441" s="47" t="s">
        <v>2164</v>
      </c>
      <c r="I1441" s="47" t="s">
        <v>2124</v>
      </c>
      <c r="J1441" s="47"/>
      <c r="K1441" s="47"/>
      <c r="L1441" s="47" t="s">
        <v>2130</v>
      </c>
      <c r="M1441" s="47">
        <v>2</v>
      </c>
      <c r="N1441" s="47" t="s">
        <v>2144</v>
      </c>
      <c r="O1441" s="49"/>
      <c r="P1441" s="51"/>
    </row>
    <row r="1442" spans="1:16" ht="15.75" thickBot="1">
      <c r="A1442" s="50"/>
      <c r="B1442" s="10" t="s">
        <v>1402</v>
      </c>
      <c r="C1442" s="52"/>
      <c r="D1442" s="50"/>
      <c r="E1442" s="48"/>
      <c r="F1442" s="48"/>
      <c r="G1442" s="48"/>
      <c r="H1442" s="48"/>
      <c r="I1442" s="48"/>
      <c r="J1442" s="48"/>
      <c r="K1442" s="48"/>
      <c r="L1442" s="48"/>
      <c r="M1442" s="48"/>
      <c r="N1442" s="48"/>
      <c r="O1442" s="50"/>
      <c r="P1442" s="52"/>
    </row>
    <row r="1443" spans="1:16" ht="15">
      <c r="A1443" s="49" t="s">
        <v>1404</v>
      </c>
      <c r="B1443" s="7" t="s">
        <v>1405</v>
      </c>
      <c r="C1443" s="51" t="s">
        <v>1406</v>
      </c>
      <c r="D1443" s="49" t="s">
        <v>2128</v>
      </c>
      <c r="E1443" s="47" t="s">
        <v>112</v>
      </c>
      <c r="F1443" s="47" t="s">
        <v>2660</v>
      </c>
      <c r="G1443" s="47"/>
      <c r="H1443" s="47" t="s">
        <v>2129</v>
      </c>
      <c r="I1443" s="47" t="s">
        <v>2124</v>
      </c>
      <c r="J1443" s="47"/>
      <c r="K1443" s="47"/>
      <c r="L1443" s="47" t="s">
        <v>2165</v>
      </c>
      <c r="M1443" s="47">
        <v>1</v>
      </c>
      <c r="N1443" s="47" t="s">
        <v>2144</v>
      </c>
      <c r="O1443" s="49"/>
      <c r="P1443" s="51"/>
    </row>
    <row r="1444" spans="1:16" ht="15.75" thickBot="1">
      <c r="A1444" s="50"/>
      <c r="B1444" s="10" t="s">
        <v>1262</v>
      </c>
      <c r="C1444" s="52"/>
      <c r="D1444" s="50"/>
      <c r="E1444" s="48"/>
      <c r="F1444" s="48"/>
      <c r="G1444" s="48"/>
      <c r="H1444" s="48"/>
      <c r="I1444" s="48"/>
      <c r="J1444" s="48"/>
      <c r="K1444" s="48"/>
      <c r="L1444" s="48"/>
      <c r="M1444" s="48"/>
      <c r="N1444" s="48"/>
      <c r="O1444" s="50"/>
      <c r="P1444" s="52"/>
    </row>
    <row r="1445" spans="1:16" ht="15">
      <c r="A1445" s="49" t="s">
        <v>1407</v>
      </c>
      <c r="B1445" s="49"/>
      <c r="C1445" s="51" t="s">
        <v>1408</v>
      </c>
      <c r="D1445" s="49" t="s">
        <v>194</v>
      </c>
      <c r="E1445" s="47" t="s">
        <v>3315</v>
      </c>
      <c r="F1445" s="47" t="s">
        <v>3655</v>
      </c>
      <c r="G1445" s="47"/>
      <c r="H1445" s="47" t="s">
        <v>3220</v>
      </c>
      <c r="I1445" s="39">
        <v>2.6</v>
      </c>
      <c r="J1445" s="47" t="s">
        <v>1270</v>
      </c>
      <c r="K1445" s="47" t="s">
        <v>2188</v>
      </c>
      <c r="L1445" s="47" t="s">
        <v>2216</v>
      </c>
      <c r="M1445" s="47">
        <v>1</v>
      </c>
      <c r="N1445" s="47" t="s">
        <v>1409</v>
      </c>
      <c r="O1445" s="49"/>
      <c r="P1445" s="51"/>
    </row>
    <row r="1446" spans="1:16" ht="15.75" thickBot="1">
      <c r="A1446" s="50"/>
      <c r="B1446" s="50"/>
      <c r="C1446" s="52"/>
      <c r="D1446" s="50"/>
      <c r="E1446" s="48"/>
      <c r="F1446" s="48"/>
      <c r="G1446" s="48"/>
      <c r="H1446" s="48"/>
      <c r="I1446" s="38">
        <v>1</v>
      </c>
      <c r="J1446" s="48"/>
      <c r="K1446" s="48"/>
      <c r="L1446" s="48"/>
      <c r="M1446" s="48"/>
      <c r="N1446" s="48"/>
      <c r="O1446" s="50"/>
      <c r="P1446" s="52"/>
    </row>
    <row r="1447" spans="1:16" ht="15">
      <c r="A1447" s="49" t="s">
        <v>1410</v>
      </c>
      <c r="B1447" s="49"/>
      <c r="C1447" s="51" t="s">
        <v>2836</v>
      </c>
      <c r="D1447" s="49" t="s">
        <v>2227</v>
      </c>
      <c r="E1447" s="47" t="s">
        <v>2461</v>
      </c>
      <c r="F1447" s="47" t="s">
        <v>3990</v>
      </c>
      <c r="G1447" s="47"/>
      <c r="H1447" s="47" t="s">
        <v>2164</v>
      </c>
      <c r="I1447" s="39">
        <v>3</v>
      </c>
      <c r="J1447" s="47">
        <v>2</v>
      </c>
      <c r="K1447" s="47"/>
      <c r="L1447" s="47" t="s">
        <v>2125</v>
      </c>
      <c r="M1447" s="47">
        <v>1</v>
      </c>
      <c r="N1447" s="47" t="s">
        <v>1411</v>
      </c>
      <c r="O1447" s="49"/>
      <c r="P1447" s="51"/>
    </row>
    <row r="1448" spans="1:16" ht="15.75" thickBot="1">
      <c r="A1448" s="50"/>
      <c r="B1448" s="50"/>
      <c r="C1448" s="52"/>
      <c r="D1448" s="50"/>
      <c r="E1448" s="48"/>
      <c r="F1448" s="48"/>
      <c r="G1448" s="48"/>
      <c r="H1448" s="48"/>
      <c r="I1448" s="38">
        <v>2</v>
      </c>
      <c r="J1448" s="48"/>
      <c r="K1448" s="48"/>
      <c r="L1448" s="48"/>
      <c r="M1448" s="48"/>
      <c r="N1448" s="48"/>
      <c r="O1448" s="50"/>
      <c r="P1448" s="52"/>
    </row>
    <row r="1449" spans="1:16" ht="15.75" thickBot="1">
      <c r="A1449" s="6" t="s">
        <v>1412</v>
      </c>
      <c r="B1449" s="10" t="s">
        <v>3896</v>
      </c>
      <c r="C1449" s="11" t="s">
        <v>1413</v>
      </c>
      <c r="D1449" s="10" t="s">
        <v>2134</v>
      </c>
      <c r="E1449" s="38" t="s">
        <v>3219</v>
      </c>
      <c r="F1449" s="38" t="s">
        <v>1968</v>
      </c>
      <c r="G1449" s="38"/>
      <c r="H1449" s="38" t="s">
        <v>2164</v>
      </c>
      <c r="I1449" s="38" t="s">
        <v>2124</v>
      </c>
      <c r="J1449" s="38"/>
      <c r="K1449" s="38"/>
      <c r="L1449" s="38" t="s">
        <v>2165</v>
      </c>
      <c r="M1449" s="38">
        <v>2</v>
      </c>
      <c r="N1449" s="38" t="s">
        <v>1252</v>
      </c>
      <c r="O1449" s="10"/>
      <c r="P1449" s="11"/>
    </row>
    <row r="1450" spans="1:16" ht="15.75" thickBot="1">
      <c r="A1450" s="6" t="s">
        <v>1414</v>
      </c>
      <c r="B1450" s="10" t="s">
        <v>1415</v>
      </c>
      <c r="C1450" s="11" t="s">
        <v>1416</v>
      </c>
      <c r="D1450" s="10" t="s">
        <v>4020</v>
      </c>
      <c r="E1450" s="38">
        <v>8</v>
      </c>
      <c r="F1450" s="38">
        <v>17</v>
      </c>
      <c r="G1450" s="38"/>
      <c r="H1450" s="38" t="s">
        <v>2164</v>
      </c>
      <c r="I1450" s="38" t="s">
        <v>2124</v>
      </c>
      <c r="J1450" s="38"/>
      <c r="K1450" s="38" t="s">
        <v>2192</v>
      </c>
      <c r="L1450" s="38"/>
      <c r="M1450" s="38" t="s">
        <v>2221</v>
      </c>
      <c r="N1450" s="38"/>
      <c r="O1450" s="10"/>
      <c r="P1450" s="25" t="str">
        <f>HYPERLINK("http://biade.itrust.de/biade/lpext.dll?f=id&amp;id=biadb%3Ar%3A007080&amp;t=main-h.htm","7080")</f>
        <v>7080</v>
      </c>
    </row>
    <row r="1451" spans="1:16" ht="15.75" thickBot="1">
      <c r="A1451" s="6" t="s">
        <v>1417</v>
      </c>
      <c r="B1451" s="10" t="s">
        <v>1418</v>
      </c>
      <c r="C1451" s="11" t="s">
        <v>1419</v>
      </c>
      <c r="D1451" s="10"/>
      <c r="E1451" s="38"/>
      <c r="F1451" s="38"/>
      <c r="G1451" s="38"/>
      <c r="H1451" s="38" t="s">
        <v>2123</v>
      </c>
      <c r="I1451" s="38" t="s">
        <v>2124</v>
      </c>
      <c r="J1451" s="38"/>
      <c r="K1451" s="38"/>
      <c r="L1451" s="38" t="s">
        <v>2165</v>
      </c>
      <c r="M1451" s="38">
        <v>3</v>
      </c>
      <c r="N1451" s="38"/>
      <c r="O1451" s="10"/>
      <c r="P1451" s="11"/>
    </row>
    <row r="1452" spans="1:16" ht="15" customHeight="1">
      <c r="A1452" s="49" t="s">
        <v>1420</v>
      </c>
      <c r="B1452" s="7" t="s">
        <v>1421</v>
      </c>
      <c r="C1452" s="51"/>
      <c r="D1452" s="49" t="s">
        <v>2134</v>
      </c>
      <c r="E1452" s="47" t="s">
        <v>2162</v>
      </c>
      <c r="F1452" s="47" t="s">
        <v>2163</v>
      </c>
      <c r="G1452" s="47"/>
      <c r="H1452" s="47" t="s">
        <v>2164</v>
      </c>
      <c r="I1452" s="47" t="s">
        <v>2124</v>
      </c>
      <c r="J1452" s="47"/>
      <c r="K1452" s="47"/>
      <c r="L1452" s="47" t="s">
        <v>2130</v>
      </c>
      <c r="M1452" s="47" t="s">
        <v>1270</v>
      </c>
      <c r="N1452" s="47"/>
      <c r="O1452" s="49"/>
      <c r="P1452" s="51"/>
    </row>
    <row r="1453" spans="1:16" ht="15.75" thickBot="1">
      <c r="A1453" s="50"/>
      <c r="B1453" s="10" t="s">
        <v>3896</v>
      </c>
      <c r="C1453" s="52"/>
      <c r="D1453" s="50"/>
      <c r="E1453" s="48"/>
      <c r="F1453" s="48"/>
      <c r="G1453" s="48"/>
      <c r="H1453" s="48"/>
      <c r="I1453" s="48"/>
      <c r="J1453" s="48"/>
      <c r="K1453" s="48"/>
      <c r="L1453" s="48"/>
      <c r="M1453" s="48"/>
      <c r="N1453" s="48"/>
      <c r="O1453" s="50"/>
      <c r="P1453" s="52"/>
    </row>
    <row r="1454" spans="1:16" ht="15.75" thickBot="1">
      <c r="A1454" s="21" t="s">
        <v>1422</v>
      </c>
      <c r="B1454" s="22"/>
      <c r="C1454" s="23" t="s">
        <v>1423</v>
      </c>
      <c r="D1454" s="22" t="s">
        <v>2134</v>
      </c>
      <c r="E1454" s="43">
        <v>38</v>
      </c>
      <c r="F1454" s="43">
        <v>46</v>
      </c>
      <c r="G1454" s="43"/>
      <c r="H1454" s="43" t="s">
        <v>2164</v>
      </c>
      <c r="I1454" s="43" t="s">
        <v>2124</v>
      </c>
      <c r="J1454" s="43"/>
      <c r="K1454" s="43"/>
      <c r="L1454" s="43" t="s">
        <v>2125</v>
      </c>
      <c r="M1454" s="43" t="s">
        <v>2221</v>
      </c>
      <c r="N1454" s="43"/>
      <c r="O1454" s="22"/>
      <c r="P1454" s="35" t="str">
        <f>HYPERLINK("http://biade.itrust.de/biade/lpext.dll?f=id&amp;id=biadb%3Ar%3A008130&amp;t=main-h.htm","8130")</f>
        <v>8130</v>
      </c>
    </row>
    <row r="1455" spans="1:16" ht="15">
      <c r="A1455" s="49" t="s">
        <v>1424</v>
      </c>
      <c r="B1455" s="49"/>
      <c r="C1455" s="51" t="s">
        <v>1425</v>
      </c>
      <c r="D1455" s="49" t="s">
        <v>1229</v>
      </c>
      <c r="E1455" s="47" t="s">
        <v>1426</v>
      </c>
      <c r="F1455" s="47" t="s">
        <v>3791</v>
      </c>
      <c r="G1455" s="47"/>
      <c r="H1455" s="47" t="s">
        <v>2129</v>
      </c>
      <c r="I1455" s="39">
        <v>1.3</v>
      </c>
      <c r="J1455" s="47" t="s">
        <v>1270</v>
      </c>
      <c r="K1455" s="47" t="s">
        <v>2187</v>
      </c>
      <c r="L1455" s="47" t="s">
        <v>2202</v>
      </c>
      <c r="M1455" s="47">
        <v>1</v>
      </c>
      <c r="N1455" s="47" t="s">
        <v>1427</v>
      </c>
      <c r="O1455" s="49"/>
      <c r="P1455" s="51"/>
    </row>
    <row r="1456" spans="1:16" ht="15.75" thickBot="1">
      <c r="A1456" s="50"/>
      <c r="B1456" s="50"/>
      <c r="C1456" s="52"/>
      <c r="D1456" s="50"/>
      <c r="E1456" s="48"/>
      <c r="F1456" s="48"/>
      <c r="G1456" s="48"/>
      <c r="H1456" s="48"/>
      <c r="I1456" s="38">
        <v>0.5</v>
      </c>
      <c r="J1456" s="48"/>
      <c r="K1456" s="48"/>
      <c r="L1456" s="48"/>
      <c r="M1456" s="48"/>
      <c r="N1456" s="48"/>
      <c r="O1456" s="50"/>
      <c r="P1456" s="52"/>
    </row>
    <row r="1457" spans="1:16" ht="15.75" thickBot="1">
      <c r="A1457" s="6" t="s">
        <v>1428</v>
      </c>
      <c r="B1457" s="10"/>
      <c r="C1457" s="11" t="s">
        <v>1429</v>
      </c>
      <c r="D1457" s="10" t="s">
        <v>2227</v>
      </c>
      <c r="E1457" s="38">
        <v>35</v>
      </c>
      <c r="F1457" s="38" t="s">
        <v>3568</v>
      </c>
      <c r="G1457" s="38"/>
      <c r="H1457" s="38" t="s">
        <v>762</v>
      </c>
      <c r="I1457" s="38" t="s">
        <v>2124</v>
      </c>
      <c r="J1457" s="38"/>
      <c r="K1457" s="38"/>
      <c r="L1457" s="38" t="s">
        <v>2136</v>
      </c>
      <c r="M1457" s="38">
        <v>1</v>
      </c>
      <c r="N1457" s="38" t="s">
        <v>1430</v>
      </c>
      <c r="O1457" s="10"/>
      <c r="P1457" s="25" t="str">
        <f>HYPERLINK("http://biade.itrust.de/biade/lpext.dll?f=id&amp;id=biadb%3Ar%3A001160&amp;t=main-h.htm","1160")</f>
        <v>1160</v>
      </c>
    </row>
    <row r="1458" spans="1:16" ht="15.75" thickBot="1">
      <c r="A1458" s="6" t="s">
        <v>1431</v>
      </c>
      <c r="B1458" s="10"/>
      <c r="C1458" s="11" t="s">
        <v>1432</v>
      </c>
      <c r="D1458" s="10" t="s">
        <v>4130</v>
      </c>
      <c r="E1458" s="38" t="s">
        <v>1433</v>
      </c>
      <c r="F1458" s="38" t="s">
        <v>1434</v>
      </c>
      <c r="G1458" s="38"/>
      <c r="H1458" s="38" t="s">
        <v>1224</v>
      </c>
      <c r="I1458" s="38" t="s">
        <v>2124</v>
      </c>
      <c r="J1458" s="38"/>
      <c r="K1458" s="38" t="s">
        <v>2189</v>
      </c>
      <c r="L1458" s="38" t="s">
        <v>2201</v>
      </c>
      <c r="M1458" s="38">
        <v>2</v>
      </c>
      <c r="N1458" s="38" t="s">
        <v>4012</v>
      </c>
      <c r="O1458" s="10"/>
      <c r="P1458" s="25" t="str">
        <f>HYPERLINK("http://biade.itrust.de/biade/lpext.dll?f=id&amp;id=biadb%3Ar%3A001130&amp;t=main-h.htm","1130")</f>
        <v>1130</v>
      </c>
    </row>
    <row r="1459" spans="1:16" ht="25.5" customHeight="1">
      <c r="A1459" s="49" t="s">
        <v>1435</v>
      </c>
      <c r="B1459" s="7" t="s">
        <v>1436</v>
      </c>
      <c r="C1459" s="51" t="s">
        <v>1437</v>
      </c>
      <c r="D1459" s="49" t="s">
        <v>2227</v>
      </c>
      <c r="E1459" s="47" t="s">
        <v>1438</v>
      </c>
      <c r="F1459" s="47" t="s">
        <v>3791</v>
      </c>
      <c r="G1459" s="47"/>
      <c r="H1459" s="47" t="s">
        <v>2164</v>
      </c>
      <c r="I1459" s="47" t="s">
        <v>2124</v>
      </c>
      <c r="J1459" s="47"/>
      <c r="K1459" s="47"/>
      <c r="L1459" s="47" t="s">
        <v>2136</v>
      </c>
      <c r="M1459" s="47">
        <v>1</v>
      </c>
      <c r="N1459" s="47"/>
      <c r="O1459" s="49"/>
      <c r="P1459" s="51"/>
    </row>
    <row r="1460" spans="1:16" ht="15.75" thickBot="1">
      <c r="A1460" s="50"/>
      <c r="B1460" s="10" t="s">
        <v>2384</v>
      </c>
      <c r="C1460" s="52"/>
      <c r="D1460" s="50"/>
      <c r="E1460" s="48"/>
      <c r="F1460" s="48"/>
      <c r="G1460" s="48"/>
      <c r="H1460" s="48"/>
      <c r="I1460" s="48"/>
      <c r="J1460" s="48"/>
      <c r="K1460" s="48"/>
      <c r="L1460" s="48"/>
      <c r="M1460" s="48"/>
      <c r="N1460" s="48"/>
      <c r="O1460" s="50"/>
      <c r="P1460" s="52"/>
    </row>
    <row r="1461" spans="1:16" ht="15">
      <c r="A1461" s="49" t="s">
        <v>1439</v>
      </c>
      <c r="B1461" s="7" t="s">
        <v>1440</v>
      </c>
      <c r="C1461" s="51" t="s">
        <v>1441</v>
      </c>
      <c r="D1461" s="49"/>
      <c r="E1461" s="47"/>
      <c r="F1461" s="47"/>
      <c r="G1461" s="47"/>
      <c r="H1461" s="47" t="s">
        <v>2123</v>
      </c>
      <c r="I1461" s="47" t="s">
        <v>2124</v>
      </c>
      <c r="J1461" s="47"/>
      <c r="K1461" s="47"/>
      <c r="L1461" s="47" t="s">
        <v>2165</v>
      </c>
      <c r="M1461" s="47">
        <v>1</v>
      </c>
      <c r="N1461" s="47"/>
      <c r="O1461" s="49"/>
      <c r="P1461" s="51"/>
    </row>
    <row r="1462" spans="1:16" ht="15.75" thickBot="1">
      <c r="A1462" s="50"/>
      <c r="B1462" s="10" t="s">
        <v>1262</v>
      </c>
      <c r="C1462" s="52"/>
      <c r="D1462" s="50"/>
      <c r="E1462" s="48"/>
      <c r="F1462" s="48"/>
      <c r="G1462" s="48"/>
      <c r="H1462" s="48"/>
      <c r="I1462" s="48"/>
      <c r="J1462" s="48"/>
      <c r="K1462" s="48"/>
      <c r="L1462" s="48"/>
      <c r="M1462" s="48"/>
      <c r="N1462" s="48"/>
      <c r="O1462" s="50"/>
      <c r="P1462" s="52"/>
    </row>
    <row r="1463" spans="1:16" ht="15.75" thickBot="1">
      <c r="A1463" s="6" t="s">
        <v>1442</v>
      </c>
      <c r="B1463" s="10" t="s">
        <v>1443</v>
      </c>
      <c r="C1463" s="11" t="s">
        <v>1444</v>
      </c>
      <c r="D1463" s="10" t="s">
        <v>2227</v>
      </c>
      <c r="E1463" s="38" t="s">
        <v>3866</v>
      </c>
      <c r="F1463" s="38" t="s">
        <v>3884</v>
      </c>
      <c r="G1463" s="38"/>
      <c r="H1463" s="38" t="s">
        <v>2164</v>
      </c>
      <c r="I1463" s="38" t="s">
        <v>2124</v>
      </c>
      <c r="J1463" s="38"/>
      <c r="K1463" s="38"/>
      <c r="L1463" s="38" t="s">
        <v>2194</v>
      </c>
      <c r="M1463" s="38">
        <v>1</v>
      </c>
      <c r="N1463" s="38" t="s">
        <v>4043</v>
      </c>
      <c r="O1463" s="10"/>
      <c r="P1463" s="25" t="str">
        <f>HYPERLINK("http://biade.itrust.de/biade/lpext.dll?f=id&amp;id=biadb%3Ar%3A492755&amp;t=main-h.htm","492755")</f>
        <v>492755</v>
      </c>
    </row>
    <row r="1464" spans="1:16" ht="25.5" customHeight="1">
      <c r="A1464" s="49" t="s">
        <v>1445</v>
      </c>
      <c r="B1464" s="7" t="s">
        <v>1446</v>
      </c>
      <c r="C1464" s="51"/>
      <c r="D1464" s="49"/>
      <c r="E1464" s="47">
        <v>10</v>
      </c>
      <c r="F1464" s="47" t="s">
        <v>1447</v>
      </c>
      <c r="G1464" s="47"/>
      <c r="H1464" s="47" t="s">
        <v>2123</v>
      </c>
      <c r="I1464" s="47" t="s">
        <v>2124</v>
      </c>
      <c r="J1464" s="47"/>
      <c r="K1464" s="47" t="s">
        <v>2533</v>
      </c>
      <c r="L1464" s="47" t="s">
        <v>2125</v>
      </c>
      <c r="M1464" s="47">
        <v>1</v>
      </c>
      <c r="N1464" s="47"/>
      <c r="O1464" s="49"/>
      <c r="P1464" s="51"/>
    </row>
    <row r="1465" spans="1:16" ht="15.75" thickBot="1">
      <c r="A1465" s="50"/>
      <c r="B1465" s="10" t="s">
        <v>2817</v>
      </c>
      <c r="C1465" s="52"/>
      <c r="D1465" s="50"/>
      <c r="E1465" s="48"/>
      <c r="F1465" s="48"/>
      <c r="G1465" s="48"/>
      <c r="H1465" s="48"/>
      <c r="I1465" s="48"/>
      <c r="J1465" s="48"/>
      <c r="K1465" s="48"/>
      <c r="L1465" s="48"/>
      <c r="M1465" s="48"/>
      <c r="N1465" s="48"/>
      <c r="O1465" s="50"/>
      <c r="P1465" s="52"/>
    </row>
    <row r="1466" spans="1:16" ht="15">
      <c r="A1466" s="49" t="s">
        <v>1448</v>
      </c>
      <c r="B1466" s="49"/>
      <c r="C1466" s="51" t="s">
        <v>1449</v>
      </c>
      <c r="D1466" s="49" t="s">
        <v>1229</v>
      </c>
      <c r="E1466" s="47" t="s">
        <v>1450</v>
      </c>
      <c r="F1466" s="47" t="s">
        <v>1451</v>
      </c>
      <c r="G1466" s="47"/>
      <c r="H1466" s="47" t="s">
        <v>1245</v>
      </c>
      <c r="I1466" s="39" t="s">
        <v>1452</v>
      </c>
      <c r="J1466" s="47">
        <v>1</v>
      </c>
      <c r="K1466" s="47" t="s">
        <v>2157</v>
      </c>
      <c r="L1466" s="47" t="s">
        <v>2136</v>
      </c>
      <c r="M1466" s="47">
        <v>2</v>
      </c>
      <c r="N1466" s="47"/>
      <c r="O1466" s="49"/>
      <c r="P1466" s="51"/>
    </row>
    <row r="1467" spans="1:16" ht="15.75" thickBot="1">
      <c r="A1467" s="50"/>
      <c r="B1467" s="50"/>
      <c r="C1467" s="52"/>
      <c r="D1467" s="50"/>
      <c r="E1467" s="48"/>
      <c r="F1467" s="48"/>
      <c r="G1467" s="48"/>
      <c r="H1467" s="48"/>
      <c r="I1467" s="38" t="s">
        <v>2124</v>
      </c>
      <c r="J1467" s="48"/>
      <c r="K1467" s="48"/>
      <c r="L1467" s="48"/>
      <c r="M1467" s="48"/>
      <c r="N1467" s="48"/>
      <c r="O1467" s="50"/>
      <c r="P1467" s="52"/>
    </row>
    <row r="1468" spans="1:16" ht="15">
      <c r="A1468" s="49" t="s">
        <v>1453</v>
      </c>
      <c r="B1468" s="49"/>
      <c r="C1468" s="51" t="s">
        <v>1454</v>
      </c>
      <c r="D1468" s="49" t="s">
        <v>2152</v>
      </c>
      <c r="E1468" s="47" t="s">
        <v>1455</v>
      </c>
      <c r="F1468" s="47" t="s">
        <v>4118</v>
      </c>
      <c r="G1468" s="47"/>
      <c r="H1468" s="47" t="s">
        <v>3220</v>
      </c>
      <c r="I1468" s="39" t="s">
        <v>1452</v>
      </c>
      <c r="J1468" s="47">
        <v>1</v>
      </c>
      <c r="K1468" s="47" t="s">
        <v>2157</v>
      </c>
      <c r="L1468" s="47" t="s">
        <v>2136</v>
      </c>
      <c r="M1468" s="47">
        <v>2</v>
      </c>
      <c r="N1468" s="47"/>
      <c r="O1468" s="49"/>
      <c r="P1468" s="51"/>
    </row>
    <row r="1469" spans="1:16" ht="15.75" thickBot="1">
      <c r="A1469" s="50"/>
      <c r="B1469" s="50"/>
      <c r="C1469" s="52"/>
      <c r="D1469" s="50"/>
      <c r="E1469" s="48"/>
      <c r="F1469" s="48"/>
      <c r="G1469" s="48"/>
      <c r="H1469" s="48"/>
      <c r="I1469" s="38" t="s">
        <v>2124</v>
      </c>
      <c r="J1469" s="48"/>
      <c r="K1469" s="48"/>
      <c r="L1469" s="48"/>
      <c r="M1469" s="48"/>
      <c r="N1469" s="48"/>
      <c r="O1469" s="50"/>
      <c r="P1469" s="52"/>
    </row>
    <row r="1470" spans="1:16" ht="15.75" thickBot="1">
      <c r="A1470" s="6" t="s">
        <v>1456</v>
      </c>
      <c r="B1470" s="10" t="s">
        <v>2121</v>
      </c>
      <c r="C1470" s="11" t="s">
        <v>1457</v>
      </c>
      <c r="D1470" s="10" t="s">
        <v>1229</v>
      </c>
      <c r="E1470" s="38" t="s">
        <v>2761</v>
      </c>
      <c r="F1470" s="38" t="s">
        <v>3292</v>
      </c>
      <c r="G1470" s="38"/>
      <c r="H1470" s="38" t="s">
        <v>3220</v>
      </c>
      <c r="I1470" s="38" t="s">
        <v>2124</v>
      </c>
      <c r="J1470" s="38"/>
      <c r="K1470" s="38"/>
      <c r="L1470" s="38" t="s">
        <v>2165</v>
      </c>
      <c r="M1470" s="38">
        <v>3</v>
      </c>
      <c r="N1470" s="38"/>
      <c r="O1470" s="10"/>
      <c r="P1470" s="25" t="str">
        <f>HYPERLINK("http://biade.itrust.de/biade/lpext.dll?f=id&amp;id=biadb%3Ar%3A490234&amp;t=main-h.htm","490234")</f>
        <v>490234</v>
      </c>
    </row>
    <row r="1471" spans="1:16" ht="15">
      <c r="A1471" s="49" t="s">
        <v>1458</v>
      </c>
      <c r="B1471" s="49" t="s">
        <v>2121</v>
      </c>
      <c r="C1471" s="51" t="s">
        <v>1459</v>
      </c>
      <c r="D1471" s="49" t="s">
        <v>194</v>
      </c>
      <c r="E1471" s="47" t="s">
        <v>1460</v>
      </c>
      <c r="F1471" s="47" t="s">
        <v>3884</v>
      </c>
      <c r="G1471" s="47"/>
      <c r="H1471" s="47" t="s">
        <v>2164</v>
      </c>
      <c r="I1471" s="42" t="s">
        <v>1461</v>
      </c>
      <c r="J1471" s="47">
        <v>2</v>
      </c>
      <c r="K1471" s="47"/>
      <c r="L1471" s="47" t="s">
        <v>2136</v>
      </c>
      <c r="M1471" s="47">
        <v>2</v>
      </c>
      <c r="N1471" s="47"/>
      <c r="O1471" s="49"/>
      <c r="P1471" s="51"/>
    </row>
    <row r="1472" spans="1:16" ht="15.75" thickBot="1">
      <c r="A1472" s="50"/>
      <c r="B1472" s="50"/>
      <c r="C1472" s="52"/>
      <c r="D1472" s="50"/>
      <c r="E1472" s="48"/>
      <c r="F1472" s="48"/>
      <c r="G1472" s="48"/>
      <c r="H1472" s="48"/>
      <c r="I1472" s="38" t="s">
        <v>2124</v>
      </c>
      <c r="J1472" s="48"/>
      <c r="K1472" s="48"/>
      <c r="L1472" s="48"/>
      <c r="M1472" s="48"/>
      <c r="N1472" s="48"/>
      <c r="O1472" s="50"/>
      <c r="P1472" s="52"/>
    </row>
    <row r="1473" spans="1:16" ht="15">
      <c r="A1473" s="49" t="s">
        <v>1462</v>
      </c>
      <c r="B1473" s="49" t="s">
        <v>4090</v>
      </c>
      <c r="C1473" s="51" t="s">
        <v>1463</v>
      </c>
      <c r="D1473" s="49" t="s">
        <v>2134</v>
      </c>
      <c r="E1473" s="47">
        <v>36</v>
      </c>
      <c r="F1473" s="47" t="s">
        <v>2908</v>
      </c>
      <c r="G1473" s="47"/>
      <c r="H1473" s="47" t="s">
        <v>2164</v>
      </c>
      <c r="I1473" s="39" t="s">
        <v>1461</v>
      </c>
      <c r="J1473" s="47">
        <v>2</v>
      </c>
      <c r="K1473" s="47"/>
      <c r="L1473" s="47" t="s">
        <v>2165</v>
      </c>
      <c r="M1473" s="47">
        <v>3</v>
      </c>
      <c r="N1473" s="47"/>
      <c r="O1473" s="49"/>
      <c r="P1473" s="51"/>
    </row>
    <row r="1474" spans="1:16" ht="15.75" thickBot="1">
      <c r="A1474" s="50"/>
      <c r="B1474" s="50"/>
      <c r="C1474" s="52"/>
      <c r="D1474" s="50"/>
      <c r="E1474" s="48"/>
      <c r="F1474" s="48"/>
      <c r="G1474" s="48"/>
      <c r="H1474" s="48"/>
      <c r="I1474" s="38" t="s">
        <v>2124</v>
      </c>
      <c r="J1474" s="48"/>
      <c r="K1474" s="48"/>
      <c r="L1474" s="48"/>
      <c r="M1474" s="48"/>
      <c r="N1474" s="48"/>
      <c r="O1474" s="50"/>
      <c r="P1474" s="52"/>
    </row>
    <row r="1475" spans="1:16" ht="15">
      <c r="A1475" s="49" t="s">
        <v>1464</v>
      </c>
      <c r="B1475" s="49"/>
      <c r="C1475" s="51" t="s">
        <v>1465</v>
      </c>
      <c r="D1475" s="49" t="s">
        <v>2665</v>
      </c>
      <c r="E1475" s="47" t="s">
        <v>1466</v>
      </c>
      <c r="F1475" s="47" t="s">
        <v>1362</v>
      </c>
      <c r="G1475" s="47"/>
      <c r="H1475" s="47" t="s">
        <v>2129</v>
      </c>
      <c r="I1475" s="39" t="s">
        <v>1461</v>
      </c>
      <c r="J1475" s="47">
        <v>2</v>
      </c>
      <c r="K1475" s="47"/>
      <c r="L1475" s="47" t="s">
        <v>2136</v>
      </c>
      <c r="M1475" s="47">
        <v>3</v>
      </c>
      <c r="N1475" s="47" t="s">
        <v>1467</v>
      </c>
      <c r="O1475" s="49"/>
      <c r="P1475" s="51"/>
    </row>
    <row r="1476" spans="1:16" ht="15.75" thickBot="1">
      <c r="A1476" s="50"/>
      <c r="B1476" s="50"/>
      <c r="C1476" s="52"/>
      <c r="D1476" s="50"/>
      <c r="E1476" s="48"/>
      <c r="F1476" s="48"/>
      <c r="G1476" s="48"/>
      <c r="H1476" s="48"/>
      <c r="I1476" s="38" t="s">
        <v>2124</v>
      </c>
      <c r="J1476" s="48"/>
      <c r="K1476" s="48"/>
      <c r="L1476" s="48"/>
      <c r="M1476" s="48"/>
      <c r="N1476" s="48"/>
      <c r="O1476" s="50"/>
      <c r="P1476" s="52"/>
    </row>
    <row r="1477" spans="1:16" ht="15">
      <c r="A1477" s="49" t="s">
        <v>1468</v>
      </c>
      <c r="B1477" s="49"/>
      <c r="C1477" s="51" t="s">
        <v>1469</v>
      </c>
      <c r="D1477" s="49" t="s">
        <v>2134</v>
      </c>
      <c r="E1477" s="47">
        <v>41</v>
      </c>
      <c r="F1477" s="47" t="s">
        <v>1470</v>
      </c>
      <c r="G1477" s="47"/>
      <c r="H1477" s="47" t="s">
        <v>2164</v>
      </c>
      <c r="I1477" s="39" t="s">
        <v>1461</v>
      </c>
      <c r="J1477" s="47">
        <v>2</v>
      </c>
      <c r="K1477" s="47"/>
      <c r="L1477" s="47" t="s">
        <v>2136</v>
      </c>
      <c r="M1477" s="47">
        <v>3</v>
      </c>
      <c r="N1477" s="47"/>
      <c r="O1477" s="49"/>
      <c r="P1477" s="51"/>
    </row>
    <row r="1478" spans="1:16" ht="15.75" thickBot="1">
      <c r="A1478" s="50"/>
      <c r="B1478" s="50"/>
      <c r="C1478" s="52"/>
      <c r="D1478" s="50"/>
      <c r="E1478" s="48"/>
      <c r="F1478" s="48"/>
      <c r="G1478" s="48"/>
      <c r="H1478" s="48"/>
      <c r="I1478" s="38" t="s">
        <v>2124</v>
      </c>
      <c r="J1478" s="48"/>
      <c r="K1478" s="48"/>
      <c r="L1478" s="48"/>
      <c r="M1478" s="48"/>
      <c r="N1478" s="48"/>
      <c r="O1478" s="50"/>
      <c r="P1478" s="52"/>
    </row>
    <row r="1479" spans="1:16" ht="15.75" thickBot="1">
      <c r="A1479" s="6" t="s">
        <v>1471</v>
      </c>
      <c r="B1479" s="10" t="s">
        <v>1472</v>
      </c>
      <c r="C1479" s="11" t="s">
        <v>1473</v>
      </c>
      <c r="D1479" s="10"/>
      <c r="E1479" s="38"/>
      <c r="F1479" s="38"/>
      <c r="G1479" s="38"/>
      <c r="H1479" s="38" t="s">
        <v>2123</v>
      </c>
      <c r="I1479" s="38" t="s">
        <v>2124</v>
      </c>
      <c r="J1479" s="38"/>
      <c r="K1479" s="38"/>
      <c r="L1479" s="38" t="s">
        <v>2136</v>
      </c>
      <c r="M1479" s="38" t="s">
        <v>2221</v>
      </c>
      <c r="N1479" s="38"/>
      <c r="O1479" s="10"/>
      <c r="P1479" s="25" t="str">
        <f>HYPERLINK("http://biade.itrust.de/biade/lpext.dll?f=id&amp;id=biadb%3Ar%3A008110&amp;t=main-h.htm","8110")</f>
        <v>8110</v>
      </c>
    </row>
    <row r="1480" spans="1:16" ht="15.75" thickBot="1">
      <c r="A1480" s="6" t="s">
        <v>1474</v>
      </c>
      <c r="B1480" s="10"/>
      <c r="C1480" s="11" t="s">
        <v>1475</v>
      </c>
      <c r="D1480" s="10" t="s">
        <v>2134</v>
      </c>
      <c r="E1480" s="38" t="s">
        <v>1476</v>
      </c>
      <c r="F1480" s="38" t="s">
        <v>1477</v>
      </c>
      <c r="G1480" s="38"/>
      <c r="H1480" s="38" t="s">
        <v>2164</v>
      </c>
      <c r="I1480" s="38" t="s">
        <v>2124</v>
      </c>
      <c r="J1480" s="38"/>
      <c r="K1480" s="38"/>
      <c r="L1480" s="38" t="s">
        <v>2136</v>
      </c>
      <c r="M1480" s="38">
        <v>1</v>
      </c>
      <c r="N1480" s="38"/>
      <c r="O1480" s="10"/>
      <c r="P1480" s="25" t="str">
        <f>HYPERLINK("http://biade.itrust.de/biade/lpext.dll?f=id&amp;id=biadb%3Ar%3A002720&amp;t=main-h.htm","2720")</f>
        <v>2720</v>
      </c>
    </row>
    <row r="1481" spans="1:16" ht="25.5" customHeight="1">
      <c r="A1481" s="49" t="s">
        <v>1478</v>
      </c>
      <c r="B1481" s="7" t="s">
        <v>1031</v>
      </c>
      <c r="C1481" s="51" t="s">
        <v>1479</v>
      </c>
      <c r="D1481" s="49" t="s">
        <v>2134</v>
      </c>
      <c r="E1481" s="47" t="s">
        <v>2162</v>
      </c>
      <c r="F1481" s="47" t="s">
        <v>3856</v>
      </c>
      <c r="G1481" s="47"/>
      <c r="H1481" s="47" t="s">
        <v>2164</v>
      </c>
      <c r="I1481" s="47" t="s">
        <v>2124</v>
      </c>
      <c r="J1481" s="47"/>
      <c r="K1481" s="47"/>
      <c r="L1481" s="47" t="s">
        <v>2165</v>
      </c>
      <c r="M1481" s="47">
        <v>1</v>
      </c>
      <c r="N1481" s="47"/>
      <c r="O1481" s="49"/>
      <c r="P1481" s="51"/>
    </row>
    <row r="1482" spans="1:16" ht="15.75" thickBot="1">
      <c r="A1482" s="50"/>
      <c r="B1482" s="10" t="s">
        <v>1262</v>
      </c>
      <c r="C1482" s="52"/>
      <c r="D1482" s="50"/>
      <c r="E1482" s="48"/>
      <c r="F1482" s="48"/>
      <c r="G1482" s="48"/>
      <c r="H1482" s="48"/>
      <c r="I1482" s="48"/>
      <c r="J1482" s="48"/>
      <c r="K1482" s="48"/>
      <c r="L1482" s="48"/>
      <c r="M1482" s="48"/>
      <c r="N1482" s="48"/>
      <c r="O1482" s="50"/>
      <c r="P1482" s="52"/>
    </row>
    <row r="1483" spans="1:16" ht="15.75" thickBot="1">
      <c r="A1483" s="6" t="s">
        <v>1480</v>
      </c>
      <c r="B1483" s="10" t="s">
        <v>2121</v>
      </c>
      <c r="C1483" s="11" t="s">
        <v>1481</v>
      </c>
      <c r="D1483" s="10"/>
      <c r="E1483" s="38"/>
      <c r="F1483" s="38"/>
      <c r="G1483" s="38"/>
      <c r="H1483" s="38" t="s">
        <v>2123</v>
      </c>
      <c r="I1483" s="38" t="s">
        <v>2124</v>
      </c>
      <c r="J1483" s="38"/>
      <c r="K1483" s="38"/>
      <c r="L1483" s="38" t="s">
        <v>2125</v>
      </c>
      <c r="M1483" s="38">
        <v>1</v>
      </c>
      <c r="N1483" s="38"/>
      <c r="O1483" s="10"/>
      <c r="P1483" s="25" t="str">
        <f>HYPERLINK("http://biade.itrust.de/biade/lpext.dll?f=id&amp;id=biadb%3Ar%3A012160&amp;t=main-h.htm","12160")</f>
        <v>12160</v>
      </c>
    </row>
    <row r="1484" spans="1:16" ht="15.75" thickBot="1">
      <c r="A1484" s="6" t="s">
        <v>1482</v>
      </c>
      <c r="B1484" s="10" t="s">
        <v>2121</v>
      </c>
      <c r="C1484" s="11" t="s">
        <v>1483</v>
      </c>
      <c r="D1484" s="10"/>
      <c r="E1484" s="38"/>
      <c r="F1484" s="38"/>
      <c r="G1484" s="38"/>
      <c r="H1484" s="38" t="s">
        <v>2123</v>
      </c>
      <c r="I1484" s="38" t="s">
        <v>2124</v>
      </c>
      <c r="J1484" s="38"/>
      <c r="K1484" s="38"/>
      <c r="L1484" s="38" t="s">
        <v>2165</v>
      </c>
      <c r="M1484" s="38" t="s">
        <v>2221</v>
      </c>
      <c r="N1484" s="38"/>
      <c r="O1484" s="10"/>
      <c r="P1484" s="25" t="str">
        <f>HYPERLINK("http://biade.itrust.de/biade/lpext.dll?f=id&amp;id=biadb%3Ar%3A011760&amp;t=main-h.htm","11760")</f>
        <v>11760</v>
      </c>
    </row>
    <row r="1485" spans="1:16" ht="15.75" thickBot="1">
      <c r="A1485" s="6" t="s">
        <v>1484</v>
      </c>
      <c r="B1485" s="10" t="s">
        <v>3823</v>
      </c>
      <c r="C1485" s="11" t="s">
        <v>1485</v>
      </c>
      <c r="D1485" s="10"/>
      <c r="E1485" s="38"/>
      <c r="F1485" s="38"/>
      <c r="G1485" s="38"/>
      <c r="H1485" s="38" t="s">
        <v>2123</v>
      </c>
      <c r="I1485" s="38" t="s">
        <v>2124</v>
      </c>
      <c r="J1485" s="38"/>
      <c r="K1485" s="38" t="s">
        <v>2192</v>
      </c>
      <c r="L1485" s="38" t="s">
        <v>2198</v>
      </c>
      <c r="M1485" s="38" t="s">
        <v>2221</v>
      </c>
      <c r="N1485" s="38"/>
      <c r="O1485" s="10"/>
      <c r="P1485" s="25" t="str">
        <f>HYPERLINK("http://biade.itrust.de/biade/lpext.dll?f=id&amp;id=biadb%3Ar%3A007070&amp;t=main-h.htm","7070")</f>
        <v>7070</v>
      </c>
    </row>
    <row r="1486" spans="1:16" ht="15.75" thickBot="1">
      <c r="A1486" s="6" t="s">
        <v>1486</v>
      </c>
      <c r="B1486" s="10" t="s">
        <v>1487</v>
      </c>
      <c r="C1486" s="11" t="s">
        <v>1488</v>
      </c>
      <c r="D1486" s="10" t="s">
        <v>1489</v>
      </c>
      <c r="E1486" s="38" t="s">
        <v>1490</v>
      </c>
      <c r="F1486" s="38" t="s">
        <v>2307</v>
      </c>
      <c r="G1486" s="38"/>
      <c r="H1486" s="38" t="s">
        <v>1224</v>
      </c>
      <c r="I1486" s="38" t="s">
        <v>2124</v>
      </c>
      <c r="J1486" s="38"/>
      <c r="K1486" s="38" t="s">
        <v>2189</v>
      </c>
      <c r="L1486" s="38" t="s">
        <v>2202</v>
      </c>
      <c r="M1486" s="38">
        <v>1</v>
      </c>
      <c r="N1486" s="38" t="s">
        <v>1491</v>
      </c>
      <c r="O1486" s="10"/>
      <c r="P1486" s="25" t="str">
        <f>HYPERLINK("http://biade.itrust.de/biade/lpext.dll?f=id&amp;id=biadb%3Ar%3A001950&amp;t=main-h.htm","1950")</f>
        <v>1950</v>
      </c>
    </row>
    <row r="1487" spans="1:16" ht="15.75" thickBot="1">
      <c r="A1487" s="6" t="s">
        <v>1492</v>
      </c>
      <c r="B1487" s="10" t="s">
        <v>1493</v>
      </c>
      <c r="C1487" s="11" t="s">
        <v>1494</v>
      </c>
      <c r="D1487" s="10" t="s">
        <v>3589</v>
      </c>
      <c r="E1487" s="38" t="s">
        <v>1490</v>
      </c>
      <c r="F1487" s="38" t="s">
        <v>1495</v>
      </c>
      <c r="G1487" s="38"/>
      <c r="H1487" s="38" t="s">
        <v>2186</v>
      </c>
      <c r="I1487" s="38" t="s">
        <v>2124</v>
      </c>
      <c r="J1487" s="38"/>
      <c r="K1487" s="38"/>
      <c r="L1487" s="38" t="s">
        <v>2202</v>
      </c>
      <c r="M1487" s="38">
        <v>1</v>
      </c>
      <c r="N1487" s="38"/>
      <c r="O1487" s="10"/>
      <c r="P1487" s="25" t="str">
        <f>HYPERLINK("http://biade.itrust.de/biade/lpext.dll?f=id&amp;id=biadb%3Ar%3A001080&amp;t=main-h.htm","1080")</f>
        <v>1080</v>
      </c>
    </row>
    <row r="1488" spans="1:16" ht="15.75" thickBot="1">
      <c r="A1488" s="17" t="s">
        <v>1496</v>
      </c>
      <c r="B1488" s="10" t="s">
        <v>1248</v>
      </c>
      <c r="C1488" s="11" t="s">
        <v>1497</v>
      </c>
      <c r="D1488" s="10" t="s">
        <v>1909</v>
      </c>
      <c r="E1488" s="38" t="s">
        <v>1498</v>
      </c>
      <c r="F1488" s="38" t="s">
        <v>1499</v>
      </c>
      <c r="G1488" s="38"/>
      <c r="H1488" s="38" t="s">
        <v>2123</v>
      </c>
      <c r="I1488" s="38" t="s">
        <v>2124</v>
      </c>
      <c r="J1488" s="38"/>
      <c r="K1488" s="38"/>
      <c r="L1488" s="38" t="s">
        <v>2165</v>
      </c>
      <c r="M1488" s="38">
        <v>2</v>
      </c>
      <c r="N1488" s="38"/>
      <c r="O1488" s="10"/>
      <c r="P1488" s="11"/>
    </row>
    <row r="1489" spans="1:16" ht="15.75" thickBot="1">
      <c r="A1489" s="6" t="s">
        <v>1500</v>
      </c>
      <c r="B1489" s="10" t="s">
        <v>3896</v>
      </c>
      <c r="C1489" s="11" t="s">
        <v>1501</v>
      </c>
      <c r="D1489" s="10" t="s">
        <v>1229</v>
      </c>
      <c r="E1489" s="38" t="s">
        <v>1502</v>
      </c>
      <c r="F1489" s="38" t="s">
        <v>1503</v>
      </c>
      <c r="G1489" s="38"/>
      <c r="H1489" s="38" t="s">
        <v>105</v>
      </c>
      <c r="I1489" s="38" t="s">
        <v>2124</v>
      </c>
      <c r="J1489" s="38"/>
      <c r="K1489" s="38" t="s">
        <v>2187</v>
      </c>
      <c r="L1489" s="38" t="s">
        <v>2165</v>
      </c>
      <c r="M1489" s="38"/>
      <c r="N1489" s="38"/>
      <c r="O1489" s="10"/>
      <c r="P1489" s="25" t="str">
        <f>HYPERLINK("http://biade.itrust.de/biade/lpext.dll?f=id&amp;id=biadb%3Ar%3A115681&amp;t=main-h.htm","115681")</f>
        <v>115681</v>
      </c>
    </row>
    <row r="1490" spans="1:16" ht="15.75" thickBot="1">
      <c r="A1490" s="6" t="s">
        <v>1504</v>
      </c>
      <c r="B1490" s="10" t="s">
        <v>2121</v>
      </c>
      <c r="C1490" s="11" t="s">
        <v>1505</v>
      </c>
      <c r="D1490" s="10"/>
      <c r="E1490" s="38"/>
      <c r="F1490" s="38"/>
      <c r="G1490" s="38"/>
      <c r="H1490" s="38" t="s">
        <v>2123</v>
      </c>
      <c r="I1490" s="38" t="s">
        <v>2124</v>
      </c>
      <c r="J1490" s="38"/>
      <c r="K1490" s="38"/>
      <c r="L1490" s="38" t="s">
        <v>2125</v>
      </c>
      <c r="M1490" s="38" t="s">
        <v>2221</v>
      </c>
      <c r="N1490" s="38"/>
      <c r="O1490" s="10"/>
      <c r="P1490" s="25" t="str">
        <f>HYPERLINK("http://biade.itrust.de/biade/lpext.dll?f=id&amp;id=biadb%3Ar%3A005190&amp;t=main-h.htm","5190")</f>
        <v>5190</v>
      </c>
    </row>
    <row r="1491" spans="1:16" ht="15.75" thickBot="1">
      <c r="A1491" s="6" t="s">
        <v>1506</v>
      </c>
      <c r="B1491" s="10" t="s">
        <v>2121</v>
      </c>
      <c r="C1491" s="11" t="s">
        <v>1507</v>
      </c>
      <c r="D1491" s="10" t="s">
        <v>2128</v>
      </c>
      <c r="E1491" s="38">
        <v>22</v>
      </c>
      <c r="F1491" s="38"/>
      <c r="G1491" s="38"/>
      <c r="H1491" s="38" t="s">
        <v>2123</v>
      </c>
      <c r="I1491" s="38" t="s">
        <v>2124</v>
      </c>
      <c r="J1491" s="38"/>
      <c r="K1491" s="38"/>
      <c r="L1491" s="38" t="s">
        <v>2125</v>
      </c>
      <c r="M1491" s="38">
        <v>1</v>
      </c>
      <c r="N1491" s="38"/>
      <c r="O1491" s="10"/>
      <c r="P1491" s="25" t="str">
        <f>HYPERLINK("http://biade.itrust.de/biade/lpext.dll?f=id&amp;id=biadb%3Ar%3A491485&amp;t=main-h.htm","491485")</f>
        <v>491485</v>
      </c>
    </row>
    <row r="1492" spans="1:16" ht="15.75" thickBot="1">
      <c r="A1492" s="6" t="s">
        <v>1508</v>
      </c>
      <c r="B1492" s="10"/>
      <c r="C1492" s="11" t="s">
        <v>1509</v>
      </c>
      <c r="D1492" s="10" t="s">
        <v>2152</v>
      </c>
      <c r="E1492" s="38" t="s">
        <v>4214</v>
      </c>
      <c r="F1492" s="38" t="s">
        <v>2154</v>
      </c>
      <c r="G1492" s="38" t="s">
        <v>2779</v>
      </c>
      <c r="H1492" s="38" t="s">
        <v>2185</v>
      </c>
      <c r="I1492" s="38" t="s">
        <v>2124</v>
      </c>
      <c r="J1492" s="38"/>
      <c r="K1492" s="38" t="s">
        <v>2187</v>
      </c>
      <c r="L1492" s="38" t="s">
        <v>2158</v>
      </c>
      <c r="M1492" s="38">
        <v>3</v>
      </c>
      <c r="N1492" s="38"/>
      <c r="O1492" s="10"/>
      <c r="P1492" s="25" t="str">
        <f>HYPERLINK("http://biade.itrust.de/biade/lpext.dll?f=id&amp;id=biadb%3Ar%3A005370&amp;t=main-h.htm","5370")</f>
        <v>5370</v>
      </c>
    </row>
    <row r="1493" spans="1:16" ht="15.75" thickBot="1">
      <c r="A1493" s="6" t="s">
        <v>1510</v>
      </c>
      <c r="B1493" s="10" t="s">
        <v>2132</v>
      </c>
      <c r="C1493" s="11" t="s">
        <v>1511</v>
      </c>
      <c r="D1493" s="10" t="s">
        <v>3887</v>
      </c>
      <c r="E1493" s="38">
        <v>8</v>
      </c>
      <c r="F1493" s="38" t="s">
        <v>1512</v>
      </c>
      <c r="G1493" s="38"/>
      <c r="H1493" s="38" t="s">
        <v>2164</v>
      </c>
      <c r="I1493" s="38" t="s">
        <v>2124</v>
      </c>
      <c r="J1493" s="38"/>
      <c r="K1493" s="38"/>
      <c r="L1493" s="38" t="s">
        <v>2136</v>
      </c>
      <c r="M1493" s="38">
        <v>2</v>
      </c>
      <c r="N1493" s="38"/>
      <c r="O1493" s="10"/>
      <c r="P1493" s="25" t="str">
        <f>HYPERLINK("http://biade.itrust.de/biade/lpext.dll?f=id&amp;id=biadb%3Ar%3A005420&amp;t=main-h.htm","5420")</f>
        <v>5420</v>
      </c>
    </row>
    <row r="1494" spans="1:16" ht="15.75" thickBot="1">
      <c r="A1494" s="6" t="s">
        <v>1513</v>
      </c>
      <c r="B1494" s="10"/>
      <c r="C1494" s="11" t="s">
        <v>1514</v>
      </c>
      <c r="D1494" s="10" t="s">
        <v>828</v>
      </c>
      <c r="E1494" s="38" t="s">
        <v>1515</v>
      </c>
      <c r="F1494" s="38" t="s">
        <v>2060</v>
      </c>
      <c r="G1494" s="38"/>
      <c r="H1494" s="38" t="s">
        <v>504</v>
      </c>
      <c r="I1494" s="38" t="s">
        <v>2124</v>
      </c>
      <c r="J1494" s="38"/>
      <c r="K1494" s="38" t="s">
        <v>2157</v>
      </c>
      <c r="L1494" s="38" t="s">
        <v>2165</v>
      </c>
      <c r="M1494" s="38"/>
      <c r="N1494" s="38" t="s">
        <v>2467</v>
      </c>
      <c r="O1494" s="10"/>
      <c r="P1494" s="25" t="str">
        <f>HYPERLINK("http://biade.itrust.de/biade/lpext.dll?f=id&amp;id=biadb%3Ar%3A510360&amp;t=main-h.htm","510360")</f>
        <v>510360</v>
      </c>
    </row>
    <row r="1495" spans="1:16" ht="15">
      <c r="A1495" s="49" t="s">
        <v>1516</v>
      </c>
      <c r="B1495" s="49"/>
      <c r="C1495" s="51" t="s">
        <v>1517</v>
      </c>
      <c r="D1495" s="49" t="s">
        <v>2128</v>
      </c>
      <c r="E1495" s="47" t="s">
        <v>1518</v>
      </c>
      <c r="F1495" s="47">
        <v>23</v>
      </c>
      <c r="G1495" s="47"/>
      <c r="H1495" s="47" t="s">
        <v>2164</v>
      </c>
      <c r="I1495" s="39">
        <v>86</v>
      </c>
      <c r="J1495" s="47">
        <v>2</v>
      </c>
      <c r="K1495" s="47" t="s">
        <v>2533</v>
      </c>
      <c r="L1495" s="47" t="s">
        <v>2130</v>
      </c>
      <c r="M1495" s="47">
        <v>2</v>
      </c>
      <c r="N1495" s="47" t="s">
        <v>3014</v>
      </c>
      <c r="O1495" s="49"/>
      <c r="P1495" s="51"/>
    </row>
    <row r="1496" spans="1:16" ht="15.75" thickBot="1">
      <c r="A1496" s="50"/>
      <c r="B1496" s="50"/>
      <c r="C1496" s="52"/>
      <c r="D1496" s="50"/>
      <c r="E1496" s="48"/>
      <c r="F1496" s="48"/>
      <c r="G1496" s="48"/>
      <c r="H1496" s="48"/>
      <c r="I1496" s="38">
        <v>20</v>
      </c>
      <c r="J1496" s="48"/>
      <c r="K1496" s="48"/>
      <c r="L1496" s="48"/>
      <c r="M1496" s="48"/>
      <c r="N1496" s="48"/>
      <c r="O1496" s="50"/>
      <c r="P1496" s="52"/>
    </row>
    <row r="1497" spans="1:16" ht="15.75" thickBot="1">
      <c r="A1497" s="6" t="s">
        <v>1519</v>
      </c>
      <c r="B1497" s="10" t="s">
        <v>1520</v>
      </c>
      <c r="C1497" s="11" t="s">
        <v>1521</v>
      </c>
      <c r="D1497" s="10"/>
      <c r="E1497" s="38"/>
      <c r="F1497" s="38"/>
      <c r="G1497" s="38"/>
      <c r="H1497" s="38" t="s">
        <v>2123</v>
      </c>
      <c r="I1497" s="38" t="s">
        <v>2124</v>
      </c>
      <c r="J1497" s="38"/>
      <c r="K1497" s="38"/>
      <c r="L1497" s="38" t="s">
        <v>2165</v>
      </c>
      <c r="M1497" s="38">
        <v>1</v>
      </c>
      <c r="N1497" s="38"/>
      <c r="O1497" s="10"/>
      <c r="P1497" s="11"/>
    </row>
    <row r="1498" spans="1:16" ht="15.75" thickBot="1">
      <c r="A1498" s="6" t="s">
        <v>1522</v>
      </c>
      <c r="B1498" s="10" t="s">
        <v>1523</v>
      </c>
      <c r="C1498" s="11" t="s">
        <v>1524</v>
      </c>
      <c r="D1498" s="10"/>
      <c r="E1498" s="38"/>
      <c r="F1498" s="38"/>
      <c r="G1498" s="38"/>
      <c r="H1498" s="38" t="s">
        <v>2123</v>
      </c>
      <c r="I1498" s="38" t="s">
        <v>2124</v>
      </c>
      <c r="J1498" s="38"/>
      <c r="K1498" s="38"/>
      <c r="L1498" s="38" t="s">
        <v>2130</v>
      </c>
      <c r="M1498" s="38">
        <v>3</v>
      </c>
      <c r="N1498" s="38"/>
      <c r="O1498" s="10"/>
      <c r="P1498" s="11"/>
    </row>
    <row r="1499" spans="1:16" ht="26.25" thickBot="1">
      <c r="A1499" s="6" t="s">
        <v>1525</v>
      </c>
      <c r="B1499" s="10" t="s">
        <v>1029</v>
      </c>
      <c r="C1499" s="11" t="s">
        <v>3937</v>
      </c>
      <c r="D1499" s="10" t="s">
        <v>2134</v>
      </c>
      <c r="E1499" s="38" t="s">
        <v>3938</v>
      </c>
      <c r="F1499" s="38" t="s">
        <v>3939</v>
      </c>
      <c r="G1499" s="38" t="s">
        <v>3940</v>
      </c>
      <c r="H1499" s="38" t="s">
        <v>2164</v>
      </c>
      <c r="I1499" s="38" t="s">
        <v>2124</v>
      </c>
      <c r="J1499" s="38"/>
      <c r="K1499" s="38"/>
      <c r="L1499" s="38" t="s">
        <v>2165</v>
      </c>
      <c r="M1499" s="38">
        <v>1</v>
      </c>
      <c r="N1499" s="38" t="s">
        <v>2250</v>
      </c>
      <c r="O1499" s="10"/>
      <c r="P1499" s="25" t="str">
        <f>HYPERLINK("http://biade.itrust.de/biade/lpext.dll?f=id&amp;id=biadb%3Ar%3A019560&amp;t=main-h.htm","19560")</f>
        <v>19560</v>
      </c>
    </row>
    <row r="1500" spans="1:16" ht="25.5">
      <c r="A1500" s="49" t="s">
        <v>1526</v>
      </c>
      <c r="B1500" s="7" t="s">
        <v>1030</v>
      </c>
      <c r="C1500" s="51" t="s">
        <v>1527</v>
      </c>
      <c r="D1500" s="49" t="s">
        <v>2128</v>
      </c>
      <c r="E1500" s="47" t="s">
        <v>2431</v>
      </c>
      <c r="F1500" s="47">
        <v>26</v>
      </c>
      <c r="G1500" s="47"/>
      <c r="H1500" s="47" t="s">
        <v>2164</v>
      </c>
      <c r="I1500" s="47" t="s">
        <v>2124</v>
      </c>
      <c r="J1500" s="47"/>
      <c r="K1500" s="47"/>
      <c r="L1500" s="47" t="s">
        <v>2165</v>
      </c>
      <c r="M1500" s="47">
        <v>2</v>
      </c>
      <c r="N1500" s="47"/>
      <c r="O1500" s="49"/>
      <c r="P1500" s="51"/>
    </row>
    <row r="1501" spans="1:16" ht="15.75" thickBot="1">
      <c r="A1501" s="50"/>
      <c r="B1501" s="10" t="s">
        <v>1256</v>
      </c>
      <c r="C1501" s="52"/>
      <c r="D1501" s="50"/>
      <c r="E1501" s="48"/>
      <c r="F1501" s="48"/>
      <c r="G1501" s="48"/>
      <c r="H1501" s="48"/>
      <c r="I1501" s="48"/>
      <c r="J1501" s="48"/>
      <c r="K1501" s="48"/>
      <c r="L1501" s="48"/>
      <c r="M1501" s="48"/>
      <c r="N1501" s="48"/>
      <c r="O1501" s="50"/>
      <c r="P1501" s="52"/>
    </row>
    <row r="1502" spans="1:16" ht="15.75" thickBot="1">
      <c r="A1502" s="6" t="s">
        <v>1528</v>
      </c>
      <c r="B1502" s="10" t="s">
        <v>1028</v>
      </c>
      <c r="C1502" s="11" t="s">
        <v>1529</v>
      </c>
      <c r="D1502" s="10" t="s">
        <v>2227</v>
      </c>
      <c r="E1502" s="38" t="s">
        <v>3736</v>
      </c>
      <c r="F1502" s="38" t="s">
        <v>3990</v>
      </c>
      <c r="G1502" s="38"/>
      <c r="H1502" s="38" t="s">
        <v>2164</v>
      </c>
      <c r="I1502" s="38" t="s">
        <v>2124</v>
      </c>
      <c r="J1502" s="38"/>
      <c r="K1502" s="38" t="s">
        <v>2188</v>
      </c>
      <c r="L1502" s="38" t="s">
        <v>2136</v>
      </c>
      <c r="M1502" s="38">
        <v>1</v>
      </c>
      <c r="N1502" s="38" t="s">
        <v>3792</v>
      </c>
      <c r="O1502" s="10"/>
      <c r="P1502" s="25" t="str">
        <f>HYPERLINK("http://biade.itrust.de/biade/lpext.dll?f=id&amp;id=biadb%3Ar%3A001350&amp;t=main-h.htm","1350")</f>
        <v>1350</v>
      </c>
    </row>
    <row r="1503" spans="1:16" ht="15">
      <c r="A1503" s="49" t="s">
        <v>1530</v>
      </c>
      <c r="B1503" s="7" t="s">
        <v>1531</v>
      </c>
      <c r="C1503" s="51" t="s">
        <v>1532</v>
      </c>
      <c r="D1503" s="49" t="s">
        <v>2128</v>
      </c>
      <c r="E1503" s="47" t="s">
        <v>1533</v>
      </c>
      <c r="F1503" s="47" t="s">
        <v>761</v>
      </c>
      <c r="G1503" s="47" t="s">
        <v>3940</v>
      </c>
      <c r="H1503" s="47" t="s">
        <v>2164</v>
      </c>
      <c r="I1503" s="47" t="s">
        <v>2124</v>
      </c>
      <c r="J1503" s="47"/>
      <c r="K1503" s="47"/>
      <c r="L1503" s="47" t="s">
        <v>2165</v>
      </c>
      <c r="M1503" s="47">
        <v>1</v>
      </c>
      <c r="N1503" s="47"/>
      <c r="O1503" s="49"/>
      <c r="P1503" s="51"/>
    </row>
    <row r="1504" spans="1:16" ht="15.75" thickBot="1">
      <c r="A1504" s="50"/>
      <c r="B1504" s="10" t="s">
        <v>1256</v>
      </c>
      <c r="C1504" s="52"/>
      <c r="D1504" s="50"/>
      <c r="E1504" s="48"/>
      <c r="F1504" s="48"/>
      <c r="G1504" s="48"/>
      <c r="H1504" s="48"/>
      <c r="I1504" s="48"/>
      <c r="J1504" s="48"/>
      <c r="K1504" s="48"/>
      <c r="L1504" s="48"/>
      <c r="M1504" s="48"/>
      <c r="N1504" s="48"/>
      <c r="O1504" s="50"/>
      <c r="P1504" s="52"/>
    </row>
    <row r="1505" spans="1:16" ht="15.75" thickBot="1">
      <c r="A1505" s="6" t="s">
        <v>1534</v>
      </c>
      <c r="B1505" s="10" t="s">
        <v>4217</v>
      </c>
      <c r="C1505" s="11" t="s">
        <v>1535</v>
      </c>
      <c r="D1505" s="10" t="s">
        <v>1229</v>
      </c>
      <c r="E1505" s="38">
        <v>25</v>
      </c>
      <c r="F1505" s="38" t="s">
        <v>3927</v>
      </c>
      <c r="G1505" s="38"/>
      <c r="H1505" s="38" t="s">
        <v>3220</v>
      </c>
      <c r="I1505" s="38" t="s">
        <v>2124</v>
      </c>
      <c r="J1505" s="38"/>
      <c r="K1505" s="38" t="s">
        <v>2157</v>
      </c>
      <c r="L1505" s="38" t="s">
        <v>2136</v>
      </c>
      <c r="M1505" s="38"/>
      <c r="N1505" s="38"/>
      <c r="O1505" s="10"/>
      <c r="P1505" s="25" t="str">
        <f>HYPERLINK("http://biade.itrust.de/biade/lpext.dll?f=id&amp;id=biadb%3Ar%3A007520&amp;t=main-h.htm","7520")</f>
        <v>7520</v>
      </c>
    </row>
    <row r="1506" spans="1:16" ht="15.75" thickBot="1">
      <c r="A1506" s="6" t="s">
        <v>1536</v>
      </c>
      <c r="B1506" s="10" t="s">
        <v>2121</v>
      </c>
      <c r="C1506" s="11" t="s">
        <v>1537</v>
      </c>
      <c r="D1506" s="10"/>
      <c r="E1506" s="38"/>
      <c r="F1506" s="38"/>
      <c r="G1506" s="38"/>
      <c r="H1506" s="38" t="s">
        <v>2123</v>
      </c>
      <c r="I1506" s="38" t="s">
        <v>2124</v>
      </c>
      <c r="J1506" s="38"/>
      <c r="K1506" s="38"/>
      <c r="L1506" s="38" t="s">
        <v>2130</v>
      </c>
      <c r="M1506" s="38">
        <v>1</v>
      </c>
      <c r="N1506" s="38"/>
      <c r="O1506" s="10"/>
      <c r="P1506" s="25" t="str">
        <f>HYPERLINK("http://biade.itrust.de/biade/lpext.dll?f=id&amp;id=biadb%3Ar%3A023360&amp;t=main-h.htm","23360")</f>
        <v>23360</v>
      </c>
    </row>
    <row r="1507" spans="1:16" ht="15.75" thickBot="1">
      <c r="A1507" s="6" t="s">
        <v>1538</v>
      </c>
      <c r="B1507" s="10"/>
      <c r="C1507" s="11" t="s">
        <v>1539</v>
      </c>
      <c r="D1507" s="10" t="s">
        <v>3961</v>
      </c>
      <c r="E1507" s="38" t="s">
        <v>1540</v>
      </c>
      <c r="F1507" s="38" t="s">
        <v>1541</v>
      </c>
      <c r="G1507" s="38" t="s">
        <v>2184</v>
      </c>
      <c r="H1507" s="38" t="s">
        <v>2164</v>
      </c>
      <c r="I1507" s="38" t="s">
        <v>2124</v>
      </c>
      <c r="J1507" s="38"/>
      <c r="K1507" s="38" t="s">
        <v>2533</v>
      </c>
      <c r="L1507" s="38" t="s">
        <v>2130</v>
      </c>
      <c r="M1507" s="38">
        <v>2</v>
      </c>
      <c r="N1507" s="38" t="s">
        <v>2144</v>
      </c>
      <c r="O1507" s="10"/>
      <c r="P1507" s="25" t="str">
        <f>HYPERLINK("http://biade.itrust.de/biade/lpext.dll?f=id&amp;id=biadb%3Ar%3A095550&amp;t=main-h.htm","95550")</f>
        <v>95550</v>
      </c>
    </row>
    <row r="1508" spans="1:16" ht="15">
      <c r="A1508" s="49" t="s">
        <v>1542</v>
      </c>
      <c r="B1508" s="49"/>
      <c r="C1508" s="51" t="s">
        <v>1543</v>
      </c>
      <c r="D1508" s="49" t="s">
        <v>828</v>
      </c>
      <c r="E1508" s="47" t="s">
        <v>1544</v>
      </c>
      <c r="F1508" s="47" t="s">
        <v>1545</v>
      </c>
      <c r="G1508" s="47" t="s">
        <v>1546</v>
      </c>
      <c r="H1508" s="47" t="s">
        <v>3460</v>
      </c>
      <c r="I1508" s="39">
        <v>7</v>
      </c>
      <c r="J1508" s="47">
        <v>2</v>
      </c>
      <c r="K1508" s="47" t="s">
        <v>2189</v>
      </c>
      <c r="L1508" s="47" t="s">
        <v>2194</v>
      </c>
      <c r="M1508" s="47">
        <v>3</v>
      </c>
      <c r="N1508" s="47" t="s">
        <v>2467</v>
      </c>
      <c r="O1508" s="49"/>
      <c r="P1508" s="51"/>
    </row>
    <row r="1509" spans="1:16" ht="15.75" thickBot="1">
      <c r="A1509" s="50"/>
      <c r="B1509" s="50"/>
      <c r="C1509" s="52"/>
      <c r="D1509" s="50"/>
      <c r="E1509" s="48"/>
      <c r="F1509" s="48"/>
      <c r="G1509" s="48"/>
      <c r="H1509" s="48"/>
      <c r="I1509" s="38">
        <v>1</v>
      </c>
      <c r="J1509" s="48"/>
      <c r="K1509" s="48"/>
      <c r="L1509" s="48"/>
      <c r="M1509" s="48"/>
      <c r="N1509" s="48"/>
      <c r="O1509" s="50"/>
      <c r="P1509" s="52"/>
    </row>
    <row r="1510" spans="1:16" ht="16.5" thickBot="1">
      <c r="A1510" s="21" t="s">
        <v>1547</v>
      </c>
      <c r="B1510" s="22" t="s">
        <v>1548</v>
      </c>
      <c r="C1510" s="23" t="s">
        <v>1549</v>
      </c>
      <c r="D1510" s="22" t="s">
        <v>3961</v>
      </c>
      <c r="E1510" s="43" t="s">
        <v>1550</v>
      </c>
      <c r="F1510" s="43" t="s">
        <v>1551</v>
      </c>
      <c r="G1510" s="43" t="s">
        <v>1552</v>
      </c>
      <c r="H1510" s="43" t="s">
        <v>3220</v>
      </c>
      <c r="I1510" s="43" t="s">
        <v>2124</v>
      </c>
      <c r="J1510" s="43"/>
      <c r="K1510" s="43" t="s">
        <v>2188</v>
      </c>
      <c r="L1510" s="43" t="s">
        <v>2194</v>
      </c>
      <c r="M1510" s="43">
        <v>3</v>
      </c>
      <c r="N1510" s="43" t="s">
        <v>493</v>
      </c>
      <c r="O1510" s="22"/>
      <c r="P1510" s="35" t="str">
        <f>HYPERLINK("http://biade.itrust.de/biade/lpext.dll?f=id&amp;id=biadb%3Ar%3A013680&amp;t=main-h.htm","13680")</f>
        <v>13680</v>
      </c>
    </row>
    <row r="1511" spans="1:16" ht="35.25" customHeight="1">
      <c r="A1511" s="49" t="s">
        <v>1553</v>
      </c>
      <c r="B1511" s="49" t="s">
        <v>1554</v>
      </c>
      <c r="C1511" s="51" t="s">
        <v>1555</v>
      </c>
      <c r="D1511" s="49" t="s">
        <v>2152</v>
      </c>
      <c r="E1511" s="47" t="s">
        <v>1556</v>
      </c>
      <c r="F1511" s="47" t="s">
        <v>1557</v>
      </c>
      <c r="G1511" s="47" t="s">
        <v>4074</v>
      </c>
      <c r="H1511" s="47" t="s">
        <v>1937</v>
      </c>
      <c r="I1511" s="42">
        <v>3.2</v>
      </c>
      <c r="J1511" s="47">
        <v>2</v>
      </c>
      <c r="K1511" s="47" t="s">
        <v>2187</v>
      </c>
      <c r="L1511" s="47" t="s">
        <v>2194</v>
      </c>
      <c r="M1511" s="47">
        <v>3</v>
      </c>
      <c r="N1511" s="47" t="s">
        <v>1558</v>
      </c>
      <c r="O1511" s="49"/>
      <c r="P1511" s="51"/>
    </row>
    <row r="1512" spans="1:16" ht="15.75" thickBot="1">
      <c r="A1512" s="50"/>
      <c r="B1512" s="50"/>
      <c r="C1512" s="52"/>
      <c r="D1512" s="50"/>
      <c r="E1512" s="48"/>
      <c r="F1512" s="48"/>
      <c r="G1512" s="48"/>
      <c r="H1512" s="48"/>
      <c r="I1512" s="38">
        <v>0.5</v>
      </c>
      <c r="J1512" s="48"/>
      <c r="K1512" s="48"/>
      <c r="L1512" s="48"/>
      <c r="M1512" s="48"/>
      <c r="N1512" s="48"/>
      <c r="O1512" s="50"/>
      <c r="P1512" s="52"/>
    </row>
    <row r="1513" spans="1:16" ht="15">
      <c r="A1513" s="5" t="s">
        <v>1559</v>
      </c>
      <c r="B1513" s="7" t="s">
        <v>1560</v>
      </c>
      <c r="C1513" s="51" t="s">
        <v>1562</v>
      </c>
      <c r="D1513" s="49" t="s">
        <v>2227</v>
      </c>
      <c r="E1513" s="47" t="s">
        <v>1563</v>
      </c>
      <c r="F1513" s="47" t="s">
        <v>3884</v>
      </c>
      <c r="G1513" s="47" t="s">
        <v>2184</v>
      </c>
      <c r="H1513" s="47" t="s">
        <v>2164</v>
      </c>
      <c r="I1513" s="47" t="s">
        <v>2124</v>
      </c>
      <c r="J1513" s="47"/>
      <c r="K1513" s="47"/>
      <c r="L1513" s="47" t="s">
        <v>2136</v>
      </c>
      <c r="M1513" s="47">
        <v>2</v>
      </c>
      <c r="N1513" s="47"/>
      <c r="O1513" s="49"/>
      <c r="P1513" s="51"/>
    </row>
    <row r="1514" spans="1:16" ht="15.75" thickBot="1">
      <c r="A1514" s="6" t="s">
        <v>794</v>
      </c>
      <c r="B1514" s="10" t="s">
        <v>1561</v>
      </c>
      <c r="C1514" s="52"/>
      <c r="D1514" s="50"/>
      <c r="E1514" s="48"/>
      <c r="F1514" s="48"/>
      <c r="G1514" s="48"/>
      <c r="H1514" s="48"/>
      <c r="I1514" s="48"/>
      <c r="J1514" s="48"/>
      <c r="K1514" s="48"/>
      <c r="L1514" s="48"/>
      <c r="M1514" s="48"/>
      <c r="N1514" s="48"/>
      <c r="O1514" s="50"/>
      <c r="P1514" s="52"/>
    </row>
    <row r="1515" spans="1:16" ht="15">
      <c r="A1515" s="49" t="s">
        <v>1564</v>
      </c>
      <c r="B1515" s="49" t="s">
        <v>1565</v>
      </c>
      <c r="C1515" s="51" t="s">
        <v>1566</v>
      </c>
      <c r="D1515" s="49" t="s">
        <v>3771</v>
      </c>
      <c r="E1515" s="47" t="s">
        <v>1567</v>
      </c>
      <c r="F1515" s="47" t="s">
        <v>1568</v>
      </c>
      <c r="G1515" s="47" t="s">
        <v>2183</v>
      </c>
      <c r="H1515" s="47" t="s">
        <v>2164</v>
      </c>
      <c r="I1515" s="39">
        <v>150</v>
      </c>
      <c r="J1515" s="47">
        <v>2</v>
      </c>
      <c r="K1515" s="47" t="s">
        <v>2533</v>
      </c>
      <c r="L1515" s="47" t="s">
        <v>2130</v>
      </c>
      <c r="M1515" s="47">
        <v>1</v>
      </c>
      <c r="N1515" s="47" t="s">
        <v>3131</v>
      </c>
      <c r="O1515" s="49"/>
      <c r="P1515" s="51"/>
    </row>
    <row r="1516" spans="1:16" ht="15.75" thickBot="1">
      <c r="A1516" s="50"/>
      <c r="B1516" s="50"/>
      <c r="C1516" s="52"/>
      <c r="D1516" s="50"/>
      <c r="E1516" s="48"/>
      <c r="F1516" s="48"/>
      <c r="G1516" s="48"/>
      <c r="H1516" s="48"/>
      <c r="I1516" s="38">
        <v>50</v>
      </c>
      <c r="J1516" s="48"/>
      <c r="K1516" s="48"/>
      <c r="L1516" s="48"/>
      <c r="M1516" s="48"/>
      <c r="N1516" s="48"/>
      <c r="O1516" s="50"/>
      <c r="P1516" s="52"/>
    </row>
    <row r="1517" spans="1:16" ht="15.75" thickBot="1">
      <c r="A1517" s="6" t="s">
        <v>1002</v>
      </c>
      <c r="B1517" s="10" t="s">
        <v>1569</v>
      </c>
      <c r="C1517" s="11" t="s">
        <v>1570</v>
      </c>
      <c r="D1517" s="10" t="s">
        <v>713</v>
      </c>
      <c r="E1517" s="38" t="s">
        <v>1571</v>
      </c>
      <c r="F1517" s="38" t="s">
        <v>3918</v>
      </c>
      <c r="G1517" s="38"/>
      <c r="H1517" s="38" t="s">
        <v>2164</v>
      </c>
      <c r="I1517" s="38" t="s">
        <v>2124</v>
      </c>
      <c r="J1517" s="38"/>
      <c r="K1517" s="38"/>
      <c r="L1517" s="38" t="s">
        <v>2165</v>
      </c>
      <c r="M1517" s="38">
        <v>2</v>
      </c>
      <c r="N1517" s="38" t="s">
        <v>1252</v>
      </c>
      <c r="O1517" s="10"/>
      <c r="P1517" s="25" t="str">
        <f>HYPERLINK("http://biade.itrust.de/biade/lpext.dll?f=id&amp;id=biadb%3Ar%3A031970&amp;t=main-h.htm","31970")</f>
        <v>31970</v>
      </c>
    </row>
    <row r="1518" spans="1:16" ht="15.75" thickBot="1">
      <c r="A1518" s="6" t="s">
        <v>1003</v>
      </c>
      <c r="B1518" s="10" t="s">
        <v>1248</v>
      </c>
      <c r="C1518" s="11" t="s">
        <v>1572</v>
      </c>
      <c r="D1518" s="10" t="s">
        <v>3901</v>
      </c>
      <c r="E1518" s="38" t="s">
        <v>3826</v>
      </c>
      <c r="F1518" s="38" t="s">
        <v>1573</v>
      </c>
      <c r="G1518" s="38"/>
      <c r="H1518" s="38" t="s">
        <v>2164</v>
      </c>
      <c r="I1518" s="38" t="s">
        <v>2124</v>
      </c>
      <c r="J1518" s="38"/>
      <c r="K1518" s="38"/>
      <c r="L1518" s="38" t="s">
        <v>2165</v>
      </c>
      <c r="M1518" s="38">
        <v>3</v>
      </c>
      <c r="N1518" s="38"/>
      <c r="O1518" s="10"/>
      <c r="P1518" s="25" t="str">
        <f>HYPERLINK("http://biade.itrust.de/biade/lpext.dll?f=id&amp;id=biadb%3Ar%3A145858&amp;t=main-h.htm","145858")</f>
        <v>145858</v>
      </c>
    </row>
    <row r="1519" spans="1:16" ht="26.25" thickBot="1">
      <c r="A1519" s="6" t="s">
        <v>1004</v>
      </c>
      <c r="B1519" s="10"/>
      <c r="C1519" s="11" t="s">
        <v>1574</v>
      </c>
      <c r="D1519" s="10" t="s">
        <v>3795</v>
      </c>
      <c r="E1519" s="38" t="s">
        <v>2004</v>
      </c>
      <c r="F1519" s="38" t="s">
        <v>1575</v>
      </c>
      <c r="G1519" s="38"/>
      <c r="H1519" s="38" t="s">
        <v>2164</v>
      </c>
      <c r="I1519" s="38" t="s">
        <v>2124</v>
      </c>
      <c r="J1519" s="38"/>
      <c r="K1519" s="38" t="s">
        <v>2533</v>
      </c>
      <c r="L1519" s="38" t="s">
        <v>2130</v>
      </c>
      <c r="M1519" s="38">
        <v>1</v>
      </c>
      <c r="N1519" s="38"/>
      <c r="O1519" s="10"/>
      <c r="P1519" s="25" t="str">
        <f>HYPERLINK("http://biade.itrust.de/biade/lpext.dll?f=id&amp;id=biadb%3Ar%3A017770&amp;t=main-h.htm","17770")</f>
        <v>17770</v>
      </c>
    </row>
    <row r="1520" spans="1:16" ht="15.75" thickBot="1">
      <c r="A1520" s="6" t="s">
        <v>1576</v>
      </c>
      <c r="B1520" s="10"/>
      <c r="C1520" s="11" t="s">
        <v>1577</v>
      </c>
      <c r="D1520" s="10" t="s">
        <v>4010</v>
      </c>
      <c r="E1520" s="38" t="s">
        <v>1578</v>
      </c>
      <c r="F1520" s="38" t="s">
        <v>1579</v>
      </c>
      <c r="G1520" s="38"/>
      <c r="H1520" s="38" t="s">
        <v>1224</v>
      </c>
      <c r="I1520" s="38" t="s">
        <v>2124</v>
      </c>
      <c r="J1520" s="38"/>
      <c r="K1520" s="38"/>
      <c r="L1520" s="38" t="s">
        <v>2198</v>
      </c>
      <c r="M1520" s="38">
        <v>3</v>
      </c>
      <c r="N1520" s="38"/>
      <c r="O1520" s="10"/>
      <c r="P1520" s="25" t="str">
        <f>HYPERLINK("http://biade.itrust.de/biade/lpext.dll?f=id&amp;id=biadb%3Ar%3A007810&amp;t=main-h.htm","7810")</f>
        <v>7810</v>
      </c>
    </row>
    <row r="1521" spans="1:16" ht="15.75" thickBot="1">
      <c r="A1521" s="6" t="s">
        <v>1580</v>
      </c>
      <c r="B1521" s="10" t="s">
        <v>1248</v>
      </c>
      <c r="C1521" s="11" t="s">
        <v>1581</v>
      </c>
      <c r="D1521" s="10" t="s">
        <v>828</v>
      </c>
      <c r="E1521" s="38" t="s">
        <v>1582</v>
      </c>
      <c r="F1521" s="38" t="s">
        <v>1579</v>
      </c>
      <c r="G1521" s="38"/>
      <c r="H1521" s="38" t="s">
        <v>1224</v>
      </c>
      <c r="I1521" s="38" t="s">
        <v>2124</v>
      </c>
      <c r="J1521" s="38"/>
      <c r="K1521" s="38" t="s">
        <v>2157</v>
      </c>
      <c r="L1521" s="38" t="s">
        <v>2165</v>
      </c>
      <c r="M1521" s="38" t="s">
        <v>2849</v>
      </c>
      <c r="N1521" s="38" t="s">
        <v>1583</v>
      </c>
      <c r="O1521" s="10"/>
      <c r="P1521" s="11"/>
    </row>
    <row r="1522" spans="1:16" ht="15.75" thickBot="1">
      <c r="A1522" s="6" t="s">
        <v>1584</v>
      </c>
      <c r="B1522" s="10"/>
      <c r="C1522" s="11" t="s">
        <v>1585</v>
      </c>
      <c r="D1522" s="10" t="s">
        <v>828</v>
      </c>
      <c r="E1522" s="38" t="s">
        <v>1586</v>
      </c>
      <c r="F1522" s="38" t="s">
        <v>1587</v>
      </c>
      <c r="G1522" s="38"/>
      <c r="H1522" s="38" t="s">
        <v>1224</v>
      </c>
      <c r="I1522" s="38" t="s">
        <v>2124</v>
      </c>
      <c r="J1522" s="38"/>
      <c r="K1522" s="38" t="s">
        <v>2157</v>
      </c>
      <c r="L1522" s="38" t="s">
        <v>2136</v>
      </c>
      <c r="M1522" s="38">
        <v>2</v>
      </c>
      <c r="N1522" s="38" t="s">
        <v>1226</v>
      </c>
      <c r="O1522" s="10"/>
      <c r="P1522" s="25" t="str">
        <f>HYPERLINK("http://biade.itrust.de/biade/lpext.dll?f=id&amp;id=biadb%3Ar%3A500106&amp;t=main-h.htm","500106")</f>
        <v>500106</v>
      </c>
    </row>
    <row r="1523" spans="1:16" ht="15.75" thickBot="1">
      <c r="A1523" s="6" t="s">
        <v>1588</v>
      </c>
      <c r="B1523" s="10"/>
      <c r="C1523" s="11" t="s">
        <v>1589</v>
      </c>
      <c r="D1523" s="10" t="s">
        <v>1229</v>
      </c>
      <c r="E1523" s="38" t="s">
        <v>1590</v>
      </c>
      <c r="F1523" s="38" t="s">
        <v>2615</v>
      </c>
      <c r="G1523" s="38" t="s">
        <v>3931</v>
      </c>
      <c r="H1523" s="38" t="s">
        <v>3689</v>
      </c>
      <c r="I1523" s="38" t="s">
        <v>2124</v>
      </c>
      <c r="J1523" s="38"/>
      <c r="K1523" s="38" t="s">
        <v>2187</v>
      </c>
      <c r="L1523" s="38" t="s">
        <v>2165</v>
      </c>
      <c r="M1523" s="38">
        <v>3</v>
      </c>
      <c r="N1523" s="38"/>
      <c r="O1523" s="10"/>
      <c r="P1523" s="25" t="str">
        <f>HYPERLINK("http://biade.itrust.de/biade/lpext.dll?f=id&amp;id=biadb%3Ar%3A490072&amp;t=main-h.htm","490072")</f>
        <v>490072</v>
      </c>
    </row>
    <row r="1524" spans="1:16" ht="15.75" thickBot="1">
      <c r="A1524" s="21" t="s">
        <v>1591</v>
      </c>
      <c r="B1524" s="22" t="s">
        <v>1027</v>
      </c>
      <c r="C1524" s="23" t="s">
        <v>1592</v>
      </c>
      <c r="D1524" s="22" t="s">
        <v>1229</v>
      </c>
      <c r="E1524" s="43" t="s">
        <v>1593</v>
      </c>
      <c r="F1524" s="43" t="s">
        <v>1594</v>
      </c>
      <c r="G1524" s="43"/>
      <c r="H1524" s="43" t="s">
        <v>3220</v>
      </c>
      <c r="I1524" s="43" t="s">
        <v>2124</v>
      </c>
      <c r="J1524" s="43"/>
      <c r="K1524" s="43" t="s">
        <v>2189</v>
      </c>
      <c r="L1524" s="43" t="s">
        <v>2130</v>
      </c>
      <c r="M1524" s="43">
        <v>1</v>
      </c>
      <c r="N1524" s="43" t="s">
        <v>1595</v>
      </c>
      <c r="O1524" s="22"/>
      <c r="P1524" s="35" t="str">
        <f>HYPERLINK("http://biade.itrust.de/biade/lpext.dll?f=id&amp;id=biadb%3Ar%3A510376&amp;t=main-h.htm","510376")</f>
        <v>510376</v>
      </c>
    </row>
    <row r="1525" spans="1:16" ht="16.5" thickBot="1">
      <c r="A1525" s="6" t="s">
        <v>1596</v>
      </c>
      <c r="B1525" s="10" t="s">
        <v>1026</v>
      </c>
      <c r="C1525" s="11" t="s">
        <v>1597</v>
      </c>
      <c r="D1525" s="10" t="s">
        <v>3961</v>
      </c>
      <c r="E1525" s="38" t="s">
        <v>1598</v>
      </c>
      <c r="F1525" s="38" t="s">
        <v>4154</v>
      </c>
      <c r="G1525" s="38" t="s">
        <v>1599</v>
      </c>
      <c r="H1525" s="38" t="s">
        <v>3220</v>
      </c>
      <c r="I1525" s="38" t="s">
        <v>2124</v>
      </c>
      <c r="J1525" s="38"/>
      <c r="K1525" s="38"/>
      <c r="L1525" s="38" t="s">
        <v>2130</v>
      </c>
      <c r="M1525" s="38">
        <v>2</v>
      </c>
      <c r="N1525" s="38" t="s">
        <v>4191</v>
      </c>
      <c r="O1525" s="10"/>
      <c r="P1525" s="25" t="str">
        <f>HYPERLINK("http://biade.itrust.de/biade/lpext.dll?f=id&amp;id=biadb%3Ar%3A011700&amp;t=main-h.htm","11700")</f>
        <v>11700</v>
      </c>
    </row>
    <row r="1526" spans="1:16" ht="15.75" thickBot="1">
      <c r="A1526" s="6" t="s">
        <v>1600</v>
      </c>
      <c r="B1526" s="10" t="s">
        <v>1601</v>
      </c>
      <c r="C1526" s="11" t="s">
        <v>1602</v>
      </c>
      <c r="D1526" s="10" t="s">
        <v>2227</v>
      </c>
      <c r="E1526" s="38" t="s">
        <v>1603</v>
      </c>
      <c r="F1526" s="38" t="s">
        <v>3884</v>
      </c>
      <c r="G1526" s="38"/>
      <c r="H1526" s="38" t="s">
        <v>3220</v>
      </c>
      <c r="I1526" s="38" t="s">
        <v>2124</v>
      </c>
      <c r="J1526" s="38"/>
      <c r="K1526" s="38" t="s">
        <v>2188</v>
      </c>
      <c r="L1526" s="38" t="s">
        <v>2136</v>
      </c>
      <c r="M1526" s="38">
        <v>1</v>
      </c>
      <c r="N1526" s="38" t="s">
        <v>1604</v>
      </c>
      <c r="O1526" s="10"/>
      <c r="P1526" s="25" t="str">
        <f>HYPERLINK("http://biade.itrust.de/biade/lpext.dll?f=id&amp;id=biadb%3Ar%3A001310&amp;t=main-h.htm","1310")</f>
        <v>1310</v>
      </c>
    </row>
    <row r="1527" spans="1:16" ht="15">
      <c r="A1527" s="5" t="s">
        <v>1605</v>
      </c>
      <c r="B1527" s="49"/>
      <c r="C1527" s="51" t="s">
        <v>1607</v>
      </c>
      <c r="D1527" s="49" t="s">
        <v>2152</v>
      </c>
      <c r="E1527" s="47" t="s">
        <v>3063</v>
      </c>
      <c r="F1527" s="47" t="s">
        <v>4118</v>
      </c>
      <c r="G1527" s="47"/>
      <c r="H1527" s="47" t="s">
        <v>3220</v>
      </c>
      <c r="I1527" s="47" t="s">
        <v>2124</v>
      </c>
      <c r="J1527" s="47"/>
      <c r="K1527" s="47"/>
      <c r="L1527" s="47" t="s">
        <v>2165</v>
      </c>
      <c r="M1527" s="47">
        <v>3</v>
      </c>
      <c r="N1527" s="47" t="s">
        <v>3064</v>
      </c>
      <c r="O1527" s="49"/>
      <c r="P1527" s="51"/>
    </row>
    <row r="1528" spans="1:16" ht="15.75" thickBot="1">
      <c r="A1528" s="6" t="s">
        <v>1606</v>
      </c>
      <c r="B1528" s="50"/>
      <c r="C1528" s="52"/>
      <c r="D1528" s="50"/>
      <c r="E1528" s="48"/>
      <c r="F1528" s="48"/>
      <c r="G1528" s="48"/>
      <c r="H1528" s="48"/>
      <c r="I1528" s="48"/>
      <c r="J1528" s="48"/>
      <c r="K1528" s="48"/>
      <c r="L1528" s="48"/>
      <c r="M1528" s="48"/>
      <c r="N1528" s="48"/>
      <c r="O1528" s="50"/>
      <c r="P1528" s="52"/>
    </row>
    <row r="1529" spans="1:16" ht="26.25" thickBot="1">
      <c r="A1529" s="6" t="s">
        <v>3065</v>
      </c>
      <c r="B1529" s="10" t="s">
        <v>1025</v>
      </c>
      <c r="C1529" s="11" t="s">
        <v>3066</v>
      </c>
      <c r="D1529" s="10" t="s">
        <v>1242</v>
      </c>
      <c r="E1529" s="38" t="s">
        <v>3067</v>
      </c>
      <c r="F1529" s="38" t="s">
        <v>3068</v>
      </c>
      <c r="G1529" s="38"/>
      <c r="H1529" s="38" t="s">
        <v>2129</v>
      </c>
      <c r="I1529" s="38" t="s">
        <v>2124</v>
      </c>
      <c r="J1529" s="38"/>
      <c r="K1529" s="38"/>
      <c r="L1529" s="38" t="s">
        <v>2130</v>
      </c>
      <c r="M1529" s="38">
        <v>2</v>
      </c>
      <c r="N1529" s="38"/>
      <c r="O1529" s="10"/>
      <c r="P1529" s="25" t="str">
        <f>HYPERLINK("http://biade.itrust.de/biade/lpext.dll?f=id&amp;id=biadb%3Ar%3A017320&amp;t=main-h.htm","17320")</f>
        <v>17320</v>
      </c>
    </row>
    <row r="1530" spans="1:16" ht="15">
      <c r="A1530" s="5" t="s">
        <v>3069</v>
      </c>
      <c r="B1530" s="49" t="s">
        <v>2121</v>
      </c>
      <c r="C1530" s="51" t="s">
        <v>3070</v>
      </c>
      <c r="D1530" s="49"/>
      <c r="E1530" s="47"/>
      <c r="F1530" s="47"/>
      <c r="G1530" s="47"/>
      <c r="H1530" s="47" t="s">
        <v>2123</v>
      </c>
      <c r="I1530" s="47" t="s">
        <v>2124</v>
      </c>
      <c r="J1530" s="47"/>
      <c r="K1530" s="47"/>
      <c r="L1530" s="47" t="s">
        <v>2125</v>
      </c>
      <c r="M1530" s="47">
        <v>3</v>
      </c>
      <c r="N1530" s="47"/>
      <c r="O1530" s="49"/>
      <c r="P1530" s="51"/>
    </row>
    <row r="1531" spans="1:16" ht="15.75" thickBot="1">
      <c r="A1531" s="6" t="s">
        <v>4089</v>
      </c>
      <c r="B1531" s="50"/>
      <c r="C1531" s="52"/>
      <c r="D1531" s="50"/>
      <c r="E1531" s="48"/>
      <c r="F1531" s="48"/>
      <c r="G1531" s="48"/>
      <c r="H1531" s="48"/>
      <c r="I1531" s="48"/>
      <c r="J1531" s="48"/>
      <c r="K1531" s="48"/>
      <c r="L1531" s="48"/>
      <c r="M1531" s="48"/>
      <c r="N1531" s="48"/>
      <c r="O1531" s="50"/>
      <c r="P1531" s="52"/>
    </row>
    <row r="1532" spans="1:16" ht="15.75" thickBot="1">
      <c r="A1532" s="6" t="s">
        <v>3071</v>
      </c>
      <c r="B1532" s="10" t="s">
        <v>2121</v>
      </c>
      <c r="C1532" s="11" t="s">
        <v>3072</v>
      </c>
      <c r="D1532" s="10"/>
      <c r="E1532" s="38"/>
      <c r="F1532" s="38"/>
      <c r="G1532" s="38"/>
      <c r="H1532" s="38" t="s">
        <v>2123</v>
      </c>
      <c r="I1532" s="38" t="s">
        <v>2124</v>
      </c>
      <c r="J1532" s="38"/>
      <c r="K1532" s="38"/>
      <c r="L1532" s="38" t="s">
        <v>2130</v>
      </c>
      <c r="M1532" s="38">
        <v>3</v>
      </c>
      <c r="N1532" s="38"/>
      <c r="O1532" s="10"/>
      <c r="P1532" s="11"/>
    </row>
    <row r="1533" spans="1:16" ht="15">
      <c r="A1533" s="5" t="s">
        <v>3073</v>
      </c>
      <c r="B1533" s="49"/>
      <c r="C1533" s="51" t="s">
        <v>3074</v>
      </c>
      <c r="D1533" s="49" t="s">
        <v>3859</v>
      </c>
      <c r="E1533" s="47" t="s">
        <v>3075</v>
      </c>
      <c r="F1533" s="47" t="s">
        <v>3861</v>
      </c>
      <c r="G1533" s="47"/>
      <c r="H1533" s="47" t="s">
        <v>2164</v>
      </c>
      <c r="I1533" s="47" t="s">
        <v>2124</v>
      </c>
      <c r="J1533" s="47"/>
      <c r="K1533" s="47"/>
      <c r="L1533" s="47" t="s">
        <v>2136</v>
      </c>
      <c r="M1533" s="47" t="s">
        <v>2221</v>
      </c>
      <c r="N1533" s="47"/>
      <c r="O1533" s="49"/>
      <c r="P1533" s="51"/>
    </row>
    <row r="1534" spans="1:16" ht="15.75" thickBot="1">
      <c r="A1534" s="6" t="s">
        <v>2865</v>
      </c>
      <c r="B1534" s="50"/>
      <c r="C1534" s="52"/>
      <c r="D1534" s="50"/>
      <c r="E1534" s="48"/>
      <c r="F1534" s="48"/>
      <c r="G1534" s="48"/>
      <c r="H1534" s="48"/>
      <c r="I1534" s="48"/>
      <c r="J1534" s="48"/>
      <c r="K1534" s="48"/>
      <c r="L1534" s="48"/>
      <c r="M1534" s="48"/>
      <c r="N1534" s="48"/>
      <c r="O1534" s="50"/>
      <c r="P1534" s="52"/>
    </row>
    <row r="1535" spans="1:16" ht="15">
      <c r="A1535" s="49" t="s">
        <v>3076</v>
      </c>
      <c r="B1535" s="7" t="s">
        <v>3077</v>
      </c>
      <c r="C1535" s="51" t="s">
        <v>3079</v>
      </c>
      <c r="D1535" s="49"/>
      <c r="E1535" s="47"/>
      <c r="F1535" s="47"/>
      <c r="G1535" s="47"/>
      <c r="H1535" s="47" t="s">
        <v>2123</v>
      </c>
      <c r="I1535" s="39">
        <v>3</v>
      </c>
      <c r="J1535" s="47" t="s">
        <v>3881</v>
      </c>
      <c r="K1535" s="47"/>
      <c r="L1535" s="47" t="s">
        <v>2136</v>
      </c>
      <c r="M1535" s="47" t="s">
        <v>2221</v>
      </c>
      <c r="N1535" s="47"/>
      <c r="O1535" s="49"/>
      <c r="P1535" s="51"/>
    </row>
    <row r="1536" spans="1:16" ht="15.75" thickBot="1">
      <c r="A1536" s="50"/>
      <c r="B1536" s="10" t="s">
        <v>3078</v>
      </c>
      <c r="C1536" s="52"/>
      <c r="D1536" s="50"/>
      <c r="E1536" s="48"/>
      <c r="F1536" s="48"/>
      <c r="G1536" s="48"/>
      <c r="H1536" s="48"/>
      <c r="I1536" s="38" t="s">
        <v>2124</v>
      </c>
      <c r="J1536" s="48"/>
      <c r="K1536" s="48"/>
      <c r="L1536" s="48"/>
      <c r="M1536" s="48"/>
      <c r="N1536" s="48"/>
      <c r="O1536" s="50"/>
      <c r="P1536" s="52"/>
    </row>
    <row r="1537" spans="1:16" ht="15">
      <c r="A1537" s="49" t="s">
        <v>3080</v>
      </c>
      <c r="B1537" s="7" t="s">
        <v>3081</v>
      </c>
      <c r="C1537" s="51" t="s">
        <v>3082</v>
      </c>
      <c r="D1537" s="49" t="s">
        <v>2227</v>
      </c>
      <c r="E1537" s="47">
        <v>35</v>
      </c>
      <c r="F1537" s="47" t="s">
        <v>3884</v>
      </c>
      <c r="G1537" s="47"/>
      <c r="H1537" s="47" t="s">
        <v>3220</v>
      </c>
      <c r="I1537" s="47" t="s">
        <v>2124</v>
      </c>
      <c r="J1537" s="47"/>
      <c r="K1537" s="47"/>
      <c r="L1537" s="47" t="s">
        <v>2136</v>
      </c>
      <c r="M1537" s="47">
        <v>2</v>
      </c>
      <c r="N1537" s="47" t="s">
        <v>1632</v>
      </c>
      <c r="O1537" s="49"/>
      <c r="P1537" s="51"/>
    </row>
    <row r="1538" spans="1:16" ht="15.75" customHeight="1" thickBot="1">
      <c r="A1538" s="50"/>
      <c r="B1538" s="10" t="s">
        <v>3333</v>
      </c>
      <c r="C1538" s="52"/>
      <c r="D1538" s="50"/>
      <c r="E1538" s="48"/>
      <c r="F1538" s="48"/>
      <c r="G1538" s="48"/>
      <c r="H1538" s="48"/>
      <c r="I1538" s="48"/>
      <c r="J1538" s="48"/>
      <c r="K1538" s="48"/>
      <c r="L1538" s="48"/>
      <c r="M1538" s="48"/>
      <c r="N1538" s="48"/>
      <c r="O1538" s="50"/>
      <c r="P1538" s="52"/>
    </row>
    <row r="1539" spans="1:16" ht="15.75" thickBot="1">
      <c r="A1539" s="6" t="s">
        <v>1633</v>
      </c>
      <c r="B1539" s="10" t="s">
        <v>1634</v>
      </c>
      <c r="C1539" s="11" t="s">
        <v>1635</v>
      </c>
      <c r="D1539" s="10" t="s">
        <v>2227</v>
      </c>
      <c r="E1539" s="38" t="s">
        <v>3790</v>
      </c>
      <c r="F1539" s="38" t="s">
        <v>3867</v>
      </c>
      <c r="G1539" s="38"/>
      <c r="H1539" s="38" t="s">
        <v>2164</v>
      </c>
      <c r="I1539" s="38" t="s">
        <v>2124</v>
      </c>
      <c r="J1539" s="38"/>
      <c r="K1539" s="38"/>
      <c r="L1539" s="38" t="s">
        <v>2136</v>
      </c>
      <c r="M1539" s="38">
        <v>1</v>
      </c>
      <c r="N1539" s="38" t="s">
        <v>1636</v>
      </c>
      <c r="O1539" s="10"/>
      <c r="P1539" s="25" t="str">
        <f>HYPERLINK("http://biade.itrust.de/biade/lpext.dll?f=id&amp;id=biadb%3Ar%3A002270&amp;t=main-h.htm","2270")</f>
        <v>2270</v>
      </c>
    </row>
    <row r="1540" spans="1:16" ht="15.75" thickBot="1">
      <c r="A1540" s="17" t="s">
        <v>1637</v>
      </c>
      <c r="B1540" s="10" t="s">
        <v>1020</v>
      </c>
      <c r="C1540" s="11" t="s">
        <v>1638</v>
      </c>
      <c r="D1540" s="10" t="s">
        <v>2152</v>
      </c>
      <c r="E1540" s="38" t="s">
        <v>3182</v>
      </c>
      <c r="F1540" s="38" t="s">
        <v>2615</v>
      </c>
      <c r="G1540" s="38" t="s">
        <v>2180</v>
      </c>
      <c r="H1540" s="38" t="s">
        <v>1232</v>
      </c>
      <c r="I1540" s="38" t="s">
        <v>2124</v>
      </c>
      <c r="J1540" s="38"/>
      <c r="K1540" s="38" t="s">
        <v>2187</v>
      </c>
      <c r="L1540" s="38" t="s">
        <v>2130</v>
      </c>
      <c r="M1540" s="38">
        <v>3</v>
      </c>
      <c r="N1540" s="38"/>
      <c r="O1540" s="10"/>
      <c r="P1540" s="25" t="str">
        <f>HYPERLINK("http://biade.itrust.de/biade/lpext.dll?f=id&amp;id=biadb%3Ar%3A017950&amp;t=main-h.htm","17950")</f>
        <v>17950</v>
      </c>
    </row>
    <row r="1541" spans="1:16" ht="15.75" thickBot="1">
      <c r="A1541" s="17" t="s">
        <v>1639</v>
      </c>
      <c r="B1541" s="10" t="s">
        <v>1021</v>
      </c>
      <c r="C1541" s="11" t="s">
        <v>1640</v>
      </c>
      <c r="D1541" s="10" t="s">
        <v>2152</v>
      </c>
      <c r="E1541" s="38" t="s">
        <v>1641</v>
      </c>
      <c r="F1541" s="38" t="s">
        <v>879</v>
      </c>
      <c r="G1541" s="38"/>
      <c r="H1541" s="38" t="s">
        <v>3220</v>
      </c>
      <c r="I1541" s="38" t="s">
        <v>2124</v>
      </c>
      <c r="J1541" s="38"/>
      <c r="K1541" s="38" t="s">
        <v>2189</v>
      </c>
      <c r="L1541" s="38" t="s">
        <v>2165</v>
      </c>
      <c r="M1541" s="38">
        <v>2</v>
      </c>
      <c r="N1541" s="38" t="s">
        <v>2798</v>
      </c>
      <c r="O1541" s="10"/>
      <c r="P1541" s="25" t="str">
        <f>HYPERLINK("http://biade.itrust.de/biade/lpext.dll?f=id&amp;id=biadb%3Ar%3A011840&amp;t=main-h.htm","11840")</f>
        <v>11840</v>
      </c>
    </row>
    <row r="1542" spans="1:16" ht="15.75" thickBot="1">
      <c r="A1542" s="33" t="s">
        <v>1642</v>
      </c>
      <c r="B1542" s="22" t="s">
        <v>1022</v>
      </c>
      <c r="C1542" s="23" t="s">
        <v>1643</v>
      </c>
      <c r="D1542" s="22" t="s">
        <v>2152</v>
      </c>
      <c r="E1542" s="43" t="s">
        <v>1644</v>
      </c>
      <c r="F1542" s="43" t="s">
        <v>2615</v>
      </c>
      <c r="G1542" s="43" t="s">
        <v>894</v>
      </c>
      <c r="H1542" s="43" t="s">
        <v>105</v>
      </c>
      <c r="I1542" s="43" t="s">
        <v>2124</v>
      </c>
      <c r="J1542" s="43"/>
      <c r="K1542" s="43" t="s">
        <v>2189</v>
      </c>
      <c r="L1542" s="43" t="s">
        <v>2130</v>
      </c>
      <c r="M1542" s="43">
        <v>3</v>
      </c>
      <c r="N1542" s="43"/>
      <c r="O1542" s="22"/>
      <c r="P1542" s="35" t="str">
        <f>HYPERLINK("http://biade.itrust.de/biade/lpext.dll?f=id&amp;id=biadb%3Ar%3A014470&amp;t=main-h.htm","14470")</f>
        <v>14470</v>
      </c>
    </row>
    <row r="1543" spans="1:16" ht="15.75" thickBot="1">
      <c r="A1543" s="17" t="s">
        <v>1645</v>
      </c>
      <c r="B1543" s="10" t="s">
        <v>1023</v>
      </c>
      <c r="C1543" s="11" t="s">
        <v>1646</v>
      </c>
      <c r="D1543" s="10" t="s">
        <v>2152</v>
      </c>
      <c r="E1543" s="38" t="s">
        <v>1647</v>
      </c>
      <c r="F1543" s="38" t="s">
        <v>879</v>
      </c>
      <c r="G1543" s="38" t="s">
        <v>1648</v>
      </c>
      <c r="H1543" s="38" t="s">
        <v>3220</v>
      </c>
      <c r="I1543" s="38" t="s">
        <v>2124</v>
      </c>
      <c r="J1543" s="38"/>
      <c r="K1543" s="38" t="s">
        <v>2189</v>
      </c>
      <c r="L1543" s="38" t="s">
        <v>2165</v>
      </c>
      <c r="M1543" s="38">
        <v>2</v>
      </c>
      <c r="N1543" s="38" t="s">
        <v>4191</v>
      </c>
      <c r="O1543" s="10"/>
      <c r="P1543" s="25" t="str">
        <f>HYPERLINK("http://biade.itrust.de/biade/lpext.dll?f=id&amp;id=biadb%3Ar%3A016340&amp;t=main-h.htm","16340")</f>
        <v>16340</v>
      </c>
    </row>
    <row r="1544" spans="1:16" ht="15" customHeight="1">
      <c r="A1544" s="49" t="s">
        <v>1649</v>
      </c>
      <c r="B1544" s="49" t="s">
        <v>1024</v>
      </c>
      <c r="C1544" s="51" t="s">
        <v>1650</v>
      </c>
      <c r="D1544" s="49" t="s">
        <v>3778</v>
      </c>
      <c r="E1544" s="47" t="s">
        <v>1651</v>
      </c>
      <c r="F1544" s="47" t="s">
        <v>1652</v>
      </c>
      <c r="G1544" s="47" t="s">
        <v>1653</v>
      </c>
      <c r="H1544" s="47" t="s">
        <v>3220</v>
      </c>
      <c r="I1544" s="39">
        <v>190</v>
      </c>
      <c r="J1544" s="47">
        <v>4</v>
      </c>
      <c r="K1544" s="47" t="s">
        <v>2533</v>
      </c>
      <c r="L1544" s="47" t="s">
        <v>2130</v>
      </c>
      <c r="M1544" s="47">
        <v>2</v>
      </c>
      <c r="N1544" s="47" t="s">
        <v>1654</v>
      </c>
      <c r="O1544" s="49"/>
      <c r="P1544" s="51"/>
    </row>
    <row r="1545" spans="1:16" ht="15.75" thickBot="1">
      <c r="A1545" s="50"/>
      <c r="B1545" s="50"/>
      <c r="C1545" s="52"/>
      <c r="D1545" s="50"/>
      <c r="E1545" s="48"/>
      <c r="F1545" s="48"/>
      <c r="G1545" s="48"/>
      <c r="H1545" s="48"/>
      <c r="I1545" s="38">
        <v>50</v>
      </c>
      <c r="J1545" s="48"/>
      <c r="K1545" s="48"/>
      <c r="L1545" s="48"/>
      <c r="M1545" s="48"/>
      <c r="N1545" s="48"/>
      <c r="O1545" s="50"/>
      <c r="P1545" s="52"/>
    </row>
    <row r="1546" spans="1:16" ht="15">
      <c r="A1546" s="5" t="s">
        <v>1005</v>
      </c>
      <c r="B1546" s="49"/>
      <c r="C1546" s="51" t="s">
        <v>1655</v>
      </c>
      <c r="D1546" s="49" t="s">
        <v>2134</v>
      </c>
      <c r="E1546" s="47" t="s">
        <v>2162</v>
      </c>
      <c r="F1546" s="47" t="s">
        <v>1656</v>
      </c>
      <c r="G1546" s="47"/>
      <c r="H1546" s="47" t="s">
        <v>2164</v>
      </c>
      <c r="I1546" s="47" t="s">
        <v>2124</v>
      </c>
      <c r="J1546" s="47"/>
      <c r="K1546" s="47"/>
      <c r="L1546" s="47" t="s">
        <v>2130</v>
      </c>
      <c r="M1546" s="47">
        <v>1</v>
      </c>
      <c r="N1546" s="47" t="s">
        <v>1657</v>
      </c>
      <c r="O1546" s="49"/>
      <c r="P1546" s="51"/>
    </row>
    <row r="1547" spans="1:16" ht="15.75" thickBot="1">
      <c r="A1547" s="6" t="s">
        <v>1617</v>
      </c>
      <c r="B1547" s="50"/>
      <c r="C1547" s="52"/>
      <c r="D1547" s="50"/>
      <c r="E1547" s="48"/>
      <c r="F1547" s="48"/>
      <c r="G1547" s="48"/>
      <c r="H1547" s="48"/>
      <c r="I1547" s="48"/>
      <c r="J1547" s="48"/>
      <c r="K1547" s="48"/>
      <c r="L1547" s="48"/>
      <c r="M1547" s="48"/>
      <c r="N1547" s="48"/>
      <c r="O1547" s="50"/>
      <c r="P1547" s="52"/>
    </row>
    <row r="1548" spans="1:16" ht="15">
      <c r="A1548" s="53" t="s">
        <v>1658</v>
      </c>
      <c r="B1548" s="7" t="s">
        <v>1019</v>
      </c>
      <c r="C1548" s="51" t="s">
        <v>1659</v>
      </c>
      <c r="D1548" s="49" t="s">
        <v>2128</v>
      </c>
      <c r="E1548" s="47" t="s">
        <v>2431</v>
      </c>
      <c r="F1548" s="47" t="s">
        <v>3764</v>
      </c>
      <c r="G1548" s="47"/>
      <c r="H1548" s="47" t="s">
        <v>2164</v>
      </c>
      <c r="I1548" s="47" t="s">
        <v>2124</v>
      </c>
      <c r="J1548" s="47"/>
      <c r="K1548" s="47"/>
      <c r="L1548" s="47" t="s">
        <v>2165</v>
      </c>
      <c r="M1548" s="47">
        <v>1</v>
      </c>
      <c r="N1548" s="47"/>
      <c r="O1548" s="49"/>
      <c r="P1548" s="51"/>
    </row>
    <row r="1549" spans="1:16" ht="15.75" thickBot="1">
      <c r="A1549" s="54"/>
      <c r="B1549" s="10" t="s">
        <v>871</v>
      </c>
      <c r="C1549" s="52"/>
      <c r="D1549" s="50"/>
      <c r="E1549" s="48"/>
      <c r="F1549" s="48"/>
      <c r="G1549" s="48"/>
      <c r="H1549" s="48"/>
      <c r="I1549" s="48"/>
      <c r="J1549" s="48"/>
      <c r="K1549" s="48"/>
      <c r="L1549" s="48"/>
      <c r="M1549" s="48"/>
      <c r="N1549" s="48"/>
      <c r="O1549" s="50"/>
      <c r="P1549" s="52"/>
    </row>
    <row r="1550" spans="1:16" ht="15">
      <c r="A1550" s="49" t="s">
        <v>1660</v>
      </c>
      <c r="B1550" s="49"/>
      <c r="C1550" s="51" t="s">
        <v>1661</v>
      </c>
      <c r="D1550" s="49" t="s">
        <v>1242</v>
      </c>
      <c r="E1550" s="47" t="s">
        <v>1662</v>
      </c>
      <c r="F1550" s="47" t="s">
        <v>1362</v>
      </c>
      <c r="G1550" s="47"/>
      <c r="H1550" s="39" t="s">
        <v>681</v>
      </c>
      <c r="I1550" s="47" t="s">
        <v>2124</v>
      </c>
      <c r="J1550" s="47"/>
      <c r="K1550" s="47"/>
      <c r="L1550" s="47" t="s">
        <v>2194</v>
      </c>
      <c r="M1550" s="47">
        <v>2</v>
      </c>
      <c r="N1550" s="47" t="s">
        <v>1663</v>
      </c>
      <c r="O1550" s="49"/>
      <c r="P1550" s="51"/>
    </row>
    <row r="1551" spans="1:16" ht="15.75" thickBot="1">
      <c r="A1551" s="50"/>
      <c r="B1551" s="50"/>
      <c r="C1551" s="52"/>
      <c r="D1551" s="50"/>
      <c r="E1551" s="48"/>
      <c r="F1551" s="48"/>
      <c r="G1551" s="48"/>
      <c r="H1551" s="38" t="s">
        <v>682</v>
      </c>
      <c r="I1551" s="48"/>
      <c r="J1551" s="48"/>
      <c r="K1551" s="48"/>
      <c r="L1551" s="48"/>
      <c r="M1551" s="48"/>
      <c r="N1551" s="48"/>
      <c r="O1551" s="50"/>
      <c r="P1551" s="52"/>
    </row>
    <row r="1552" spans="1:16" ht="15">
      <c r="A1552" s="49" t="s">
        <v>1664</v>
      </c>
      <c r="B1552" s="49" t="s">
        <v>1018</v>
      </c>
      <c r="C1552" s="51" t="s">
        <v>1665</v>
      </c>
      <c r="D1552" s="49" t="s">
        <v>3961</v>
      </c>
      <c r="E1552" s="47" t="s">
        <v>1666</v>
      </c>
      <c r="F1552" s="47" t="s">
        <v>1667</v>
      </c>
      <c r="G1552" s="47" t="s">
        <v>2183</v>
      </c>
      <c r="H1552" s="47" t="s">
        <v>1232</v>
      </c>
      <c r="I1552" s="39">
        <v>1100</v>
      </c>
      <c r="J1552" s="47">
        <v>1</v>
      </c>
      <c r="K1552" s="47" t="s">
        <v>2187</v>
      </c>
      <c r="L1552" s="47" t="s">
        <v>2194</v>
      </c>
      <c r="M1552" s="47">
        <v>3</v>
      </c>
      <c r="N1552" s="47" t="s">
        <v>2144</v>
      </c>
      <c r="O1552" s="49"/>
      <c r="P1552" s="51"/>
    </row>
    <row r="1553" spans="1:16" ht="15.75" thickBot="1">
      <c r="A1553" s="50"/>
      <c r="B1553" s="50"/>
      <c r="C1553" s="52"/>
      <c r="D1553" s="50"/>
      <c r="E1553" s="48"/>
      <c r="F1553" s="48"/>
      <c r="G1553" s="48"/>
      <c r="H1553" s="48"/>
      <c r="I1553" s="38">
        <v>200</v>
      </c>
      <c r="J1553" s="48"/>
      <c r="K1553" s="48"/>
      <c r="L1553" s="48"/>
      <c r="M1553" s="48"/>
      <c r="N1553" s="48"/>
      <c r="O1553" s="50"/>
      <c r="P1553" s="52"/>
    </row>
    <row r="1554" spans="1:16" ht="15">
      <c r="A1554" s="49" t="s">
        <v>1668</v>
      </c>
      <c r="B1554" s="49"/>
      <c r="C1554" s="51" t="s">
        <v>1669</v>
      </c>
      <c r="D1554" s="49" t="s">
        <v>2128</v>
      </c>
      <c r="E1554" s="47" t="s">
        <v>1670</v>
      </c>
      <c r="F1554" s="47" t="s">
        <v>1671</v>
      </c>
      <c r="G1554" s="47" t="s">
        <v>4074</v>
      </c>
      <c r="H1554" s="47" t="s">
        <v>3220</v>
      </c>
      <c r="I1554" s="39">
        <v>55</v>
      </c>
      <c r="J1554" s="47">
        <v>2</v>
      </c>
      <c r="K1554" s="47" t="s">
        <v>2188</v>
      </c>
      <c r="L1554" s="47" t="s">
        <v>2194</v>
      </c>
      <c r="M1554" s="47">
        <v>3</v>
      </c>
      <c r="N1554" s="47" t="s">
        <v>2786</v>
      </c>
      <c r="O1554" s="49"/>
      <c r="P1554" s="51"/>
    </row>
    <row r="1555" spans="1:16" ht="15.75" thickBot="1">
      <c r="A1555" s="50"/>
      <c r="B1555" s="50"/>
      <c r="C1555" s="52"/>
      <c r="D1555" s="50"/>
      <c r="E1555" s="48"/>
      <c r="F1555" s="48"/>
      <c r="G1555" s="48"/>
      <c r="H1555" s="48"/>
      <c r="I1555" s="38">
        <v>10</v>
      </c>
      <c r="J1555" s="48"/>
      <c r="K1555" s="48"/>
      <c r="L1555" s="48"/>
      <c r="M1555" s="48"/>
      <c r="N1555" s="48"/>
      <c r="O1555" s="50"/>
      <c r="P1555" s="52"/>
    </row>
    <row r="1556" spans="1:16" ht="15">
      <c r="A1556" s="49" t="s">
        <v>1672</v>
      </c>
      <c r="B1556" s="7" t="s">
        <v>1017</v>
      </c>
      <c r="C1556" s="51" t="s">
        <v>1674</v>
      </c>
      <c r="D1556" s="49" t="s">
        <v>1229</v>
      </c>
      <c r="E1556" s="47" t="s">
        <v>1675</v>
      </c>
      <c r="F1556" s="47" t="s">
        <v>2615</v>
      </c>
      <c r="G1556" s="47" t="s">
        <v>4155</v>
      </c>
      <c r="H1556" s="47" t="s">
        <v>1232</v>
      </c>
      <c r="I1556" s="47" t="s">
        <v>2124</v>
      </c>
      <c r="J1556" s="47"/>
      <c r="K1556" s="47" t="s">
        <v>2187</v>
      </c>
      <c r="L1556" s="47" t="s">
        <v>2194</v>
      </c>
      <c r="M1556" s="47">
        <v>3</v>
      </c>
      <c r="N1556" s="47"/>
      <c r="O1556" s="49"/>
      <c r="P1556" s="51"/>
    </row>
    <row r="1557" spans="1:16" ht="15.75" thickBot="1">
      <c r="A1557" s="50"/>
      <c r="B1557" s="10" t="s">
        <v>1673</v>
      </c>
      <c r="C1557" s="52"/>
      <c r="D1557" s="50"/>
      <c r="E1557" s="48"/>
      <c r="F1557" s="48"/>
      <c r="G1557" s="48"/>
      <c r="H1557" s="48"/>
      <c r="I1557" s="48"/>
      <c r="J1557" s="48"/>
      <c r="K1557" s="48"/>
      <c r="L1557" s="48"/>
      <c r="M1557" s="48"/>
      <c r="N1557" s="48"/>
      <c r="O1557" s="50"/>
      <c r="P1557" s="52"/>
    </row>
    <row r="1558" spans="1:16" ht="15" customHeight="1">
      <c r="A1558" s="49" t="s">
        <v>1676</v>
      </c>
      <c r="B1558" s="49" t="s">
        <v>1677</v>
      </c>
      <c r="C1558" s="51" t="s">
        <v>1678</v>
      </c>
      <c r="D1558" s="49" t="s">
        <v>2128</v>
      </c>
      <c r="E1558" s="47" t="s">
        <v>1679</v>
      </c>
      <c r="F1558" s="47" t="s">
        <v>3219</v>
      </c>
      <c r="G1558" s="47" t="s">
        <v>2834</v>
      </c>
      <c r="H1558" s="47" t="s">
        <v>1680</v>
      </c>
      <c r="I1558" s="39">
        <v>2.5</v>
      </c>
      <c r="J1558" s="47">
        <v>2</v>
      </c>
      <c r="K1558" s="47" t="s">
        <v>2187</v>
      </c>
      <c r="L1558" s="47" t="s">
        <v>2194</v>
      </c>
      <c r="M1558" s="47">
        <v>3</v>
      </c>
      <c r="N1558" s="47"/>
      <c r="O1558" s="49"/>
      <c r="P1558" s="51"/>
    </row>
    <row r="1559" spans="1:16" ht="15.75" thickBot="1">
      <c r="A1559" s="50"/>
      <c r="B1559" s="50"/>
      <c r="C1559" s="52"/>
      <c r="D1559" s="50"/>
      <c r="E1559" s="48"/>
      <c r="F1559" s="48"/>
      <c r="G1559" s="48"/>
      <c r="H1559" s="48"/>
      <c r="I1559" s="38">
        <v>0.5</v>
      </c>
      <c r="J1559" s="48"/>
      <c r="K1559" s="48"/>
      <c r="L1559" s="48"/>
      <c r="M1559" s="48"/>
      <c r="N1559" s="48"/>
      <c r="O1559" s="50"/>
      <c r="P1559" s="52"/>
    </row>
    <row r="1560" spans="1:16" ht="15.75" thickBot="1">
      <c r="A1560" s="21" t="s">
        <v>1681</v>
      </c>
      <c r="B1560" s="22"/>
      <c r="C1560" s="23" t="s">
        <v>1682</v>
      </c>
      <c r="D1560" s="22" t="s">
        <v>3961</v>
      </c>
      <c r="E1560" s="43" t="s">
        <v>1683</v>
      </c>
      <c r="F1560" s="43" t="s">
        <v>1684</v>
      </c>
      <c r="G1560" s="43" t="s">
        <v>2181</v>
      </c>
      <c r="H1560" s="43" t="s">
        <v>1245</v>
      </c>
      <c r="I1560" s="43" t="s">
        <v>2124</v>
      </c>
      <c r="J1560" s="43"/>
      <c r="K1560" s="43"/>
      <c r="L1560" s="43" t="s">
        <v>2165</v>
      </c>
      <c r="M1560" s="43">
        <v>3</v>
      </c>
      <c r="N1560" s="43"/>
      <c r="O1560" s="22"/>
      <c r="P1560" s="35" t="str">
        <f>HYPERLINK("http://biade.itrust.de/biade/lpext.dll?f=id&amp;id=biadb%3Ar%3A510386&amp;t=main-h.htm","510386")</f>
        <v>510386</v>
      </c>
    </row>
    <row r="1561" spans="1:16" ht="15.75" thickBot="1">
      <c r="A1561" s="20" t="s">
        <v>1685</v>
      </c>
      <c r="B1561" s="10" t="s">
        <v>1016</v>
      </c>
      <c r="C1561" s="11" t="s">
        <v>1686</v>
      </c>
      <c r="D1561" s="10" t="s">
        <v>1229</v>
      </c>
      <c r="E1561" s="38" t="s">
        <v>1687</v>
      </c>
      <c r="F1561" s="38" t="s">
        <v>1231</v>
      </c>
      <c r="G1561" s="38" t="s">
        <v>894</v>
      </c>
      <c r="H1561" s="38" t="s">
        <v>1232</v>
      </c>
      <c r="I1561" s="38" t="s">
        <v>2124</v>
      </c>
      <c r="J1561" s="38"/>
      <c r="K1561" s="38" t="s">
        <v>2187</v>
      </c>
      <c r="L1561" s="38" t="s">
        <v>2194</v>
      </c>
      <c r="M1561" s="38">
        <v>3</v>
      </c>
      <c r="N1561" s="38" t="s">
        <v>1688</v>
      </c>
      <c r="O1561" s="10"/>
      <c r="P1561" s="25" t="str">
        <f>HYPERLINK("http://biade.itrust.de/biade/lpext.dll?f=id&amp;id=biadb%3Ar%3A024190&amp;t=main-h.htm","24190")</f>
        <v>24190</v>
      </c>
    </row>
    <row r="1562" spans="1:16" ht="22.5" customHeight="1">
      <c r="A1562" s="49" t="s">
        <v>1006</v>
      </c>
      <c r="B1562" s="49" t="s">
        <v>1689</v>
      </c>
      <c r="C1562" s="51" t="s">
        <v>1690</v>
      </c>
      <c r="D1562" s="49" t="s">
        <v>2187</v>
      </c>
      <c r="E1562" s="47" t="s">
        <v>1691</v>
      </c>
      <c r="F1562" s="47">
        <v>61</v>
      </c>
      <c r="G1562" s="47"/>
      <c r="H1562" s="47" t="s">
        <v>1232</v>
      </c>
      <c r="I1562" s="39">
        <v>3900</v>
      </c>
      <c r="J1562" s="47">
        <v>2</v>
      </c>
      <c r="K1562" s="47" t="s">
        <v>2187</v>
      </c>
      <c r="L1562" s="47" t="s">
        <v>2198</v>
      </c>
      <c r="M1562" s="47">
        <v>2</v>
      </c>
      <c r="N1562" s="47"/>
      <c r="O1562" s="49"/>
      <c r="P1562" s="51"/>
    </row>
    <row r="1563" spans="1:16" ht="15.75" thickBot="1">
      <c r="A1563" s="50"/>
      <c r="B1563" s="50"/>
      <c r="C1563" s="52"/>
      <c r="D1563" s="50"/>
      <c r="E1563" s="48"/>
      <c r="F1563" s="48"/>
      <c r="G1563" s="48"/>
      <c r="H1563" s="48"/>
      <c r="I1563" s="38">
        <v>500</v>
      </c>
      <c r="J1563" s="48"/>
      <c r="K1563" s="48"/>
      <c r="L1563" s="48"/>
      <c r="M1563" s="48"/>
      <c r="N1563" s="48"/>
      <c r="O1563" s="50"/>
      <c r="P1563" s="52"/>
    </row>
    <row r="1564" spans="1:16" ht="15.75" thickBot="1">
      <c r="A1564" s="6" t="s">
        <v>1692</v>
      </c>
      <c r="B1564" s="10" t="s">
        <v>2121</v>
      </c>
      <c r="C1564" s="11" t="s">
        <v>1693</v>
      </c>
      <c r="D1564" s="10"/>
      <c r="E1564" s="38"/>
      <c r="F1564" s="38"/>
      <c r="G1564" s="38"/>
      <c r="H1564" s="38" t="s">
        <v>2123</v>
      </c>
      <c r="I1564" s="38" t="s">
        <v>2124</v>
      </c>
      <c r="J1564" s="38"/>
      <c r="K1564" s="38"/>
      <c r="L1564" s="38" t="s">
        <v>2130</v>
      </c>
      <c r="M1564" s="38">
        <v>1</v>
      </c>
      <c r="N1564" s="38"/>
      <c r="O1564" s="10"/>
      <c r="P1564" s="25" t="str">
        <f>HYPERLINK("http://biade.itrust.de/biade/lpext.dll?f=id&amp;id=biadb%3Ar%3A014280&amp;t=main-h.htm","14280")</f>
        <v>14280</v>
      </c>
    </row>
    <row r="1565" spans="1:16" ht="15.75" thickBot="1">
      <c r="A1565" s="6" t="s">
        <v>1007</v>
      </c>
      <c r="B1565" s="10" t="s">
        <v>2121</v>
      </c>
      <c r="C1565" s="11" t="s">
        <v>1694</v>
      </c>
      <c r="D1565" s="10"/>
      <c r="E1565" s="38"/>
      <c r="F1565" s="38"/>
      <c r="G1565" s="38"/>
      <c r="H1565" s="38" t="s">
        <v>2123</v>
      </c>
      <c r="I1565" s="38" t="s">
        <v>2124</v>
      </c>
      <c r="J1565" s="38"/>
      <c r="K1565" s="38"/>
      <c r="L1565" s="38" t="s">
        <v>2165</v>
      </c>
      <c r="M1565" s="38">
        <v>1</v>
      </c>
      <c r="N1565" s="38"/>
      <c r="O1565" s="10"/>
      <c r="P1565" s="25" t="str">
        <f>HYPERLINK("http://biade.itrust.de/biade/lpext.dll?f=id&amp;id=biadb%3Ar%3A036310&amp;t=main-h.htm","36310")</f>
        <v>36310</v>
      </c>
    </row>
    <row r="1566" spans="1:16" ht="15">
      <c r="A1566" s="49" t="s">
        <v>1695</v>
      </c>
      <c r="B1566" s="49"/>
      <c r="C1566" s="51" t="s">
        <v>1696</v>
      </c>
      <c r="D1566" s="49" t="s">
        <v>3795</v>
      </c>
      <c r="E1566" s="47" t="s">
        <v>3944</v>
      </c>
      <c r="F1566" s="47" t="s">
        <v>3945</v>
      </c>
      <c r="G1566" s="47" t="s">
        <v>2183</v>
      </c>
      <c r="H1566" s="47" t="s">
        <v>3220</v>
      </c>
      <c r="I1566" s="39">
        <v>4.2</v>
      </c>
      <c r="J1566" s="47">
        <v>2</v>
      </c>
      <c r="K1566" s="47" t="s">
        <v>2533</v>
      </c>
      <c r="L1566" s="47" t="s">
        <v>2130</v>
      </c>
      <c r="M1566" s="47">
        <v>1</v>
      </c>
      <c r="N1566" s="47" t="s">
        <v>1697</v>
      </c>
      <c r="O1566" s="49"/>
      <c r="P1566" s="51"/>
    </row>
    <row r="1567" spans="1:16" ht="15.75" thickBot="1">
      <c r="A1567" s="50"/>
      <c r="B1567" s="50"/>
      <c r="C1567" s="52"/>
      <c r="D1567" s="50"/>
      <c r="E1567" s="48"/>
      <c r="F1567" s="48"/>
      <c r="G1567" s="48"/>
      <c r="H1567" s="48"/>
      <c r="I1567" s="38">
        <v>1</v>
      </c>
      <c r="J1567" s="48"/>
      <c r="K1567" s="48"/>
      <c r="L1567" s="48"/>
      <c r="M1567" s="48"/>
      <c r="N1567" s="48"/>
      <c r="O1567" s="50"/>
      <c r="P1567" s="52"/>
    </row>
    <row r="1568" spans="1:16" ht="15.75" thickBot="1">
      <c r="A1568" s="6" t="s">
        <v>1008</v>
      </c>
      <c r="B1568" s="10" t="s">
        <v>1698</v>
      </c>
      <c r="C1568" s="11" t="s">
        <v>1699</v>
      </c>
      <c r="D1568" s="10" t="s">
        <v>2128</v>
      </c>
      <c r="E1568" s="38" t="s">
        <v>1700</v>
      </c>
      <c r="F1568" s="38" t="s">
        <v>4154</v>
      </c>
      <c r="G1568" s="38" t="s">
        <v>3498</v>
      </c>
      <c r="H1568" s="38" t="s">
        <v>3220</v>
      </c>
      <c r="I1568" s="38" t="s">
        <v>2124</v>
      </c>
      <c r="J1568" s="38"/>
      <c r="K1568" s="38"/>
      <c r="L1568" s="38" t="s">
        <v>2165</v>
      </c>
      <c r="M1568" s="38">
        <v>2</v>
      </c>
      <c r="N1568" s="38" t="s">
        <v>1701</v>
      </c>
      <c r="O1568" s="10"/>
      <c r="P1568" s="25" t="str">
        <f>HYPERLINK("http://biade.itrust.de/biade/lpext.dll?f=id&amp;id=biadb%3Ar%3A510392&amp;t=main-h.htm","510392")</f>
        <v>510392</v>
      </c>
    </row>
    <row r="1569" spans="1:16" ht="15">
      <c r="A1569" s="49" t="s">
        <v>1702</v>
      </c>
      <c r="B1569" s="7" t="s">
        <v>2749</v>
      </c>
      <c r="C1569" s="51" t="s">
        <v>190</v>
      </c>
      <c r="D1569" s="49" t="s">
        <v>2128</v>
      </c>
      <c r="E1569" s="47" t="s">
        <v>191</v>
      </c>
      <c r="F1569" s="47" t="s">
        <v>3987</v>
      </c>
      <c r="G1569" s="47"/>
      <c r="H1569" s="47" t="s">
        <v>2164</v>
      </c>
      <c r="I1569" s="47" t="s">
        <v>2124</v>
      </c>
      <c r="J1569" s="47"/>
      <c r="K1569" s="47"/>
      <c r="L1569" s="47" t="s">
        <v>2165</v>
      </c>
      <c r="M1569" s="47"/>
      <c r="N1569" s="47" t="s">
        <v>2144</v>
      </c>
      <c r="O1569" s="49"/>
      <c r="P1569" s="51"/>
    </row>
    <row r="1570" spans="1:16" ht="15.75" customHeight="1" thickBot="1">
      <c r="A1570" s="50"/>
      <c r="B1570" s="10" t="s">
        <v>3333</v>
      </c>
      <c r="C1570" s="52"/>
      <c r="D1570" s="50"/>
      <c r="E1570" s="48"/>
      <c r="F1570" s="48"/>
      <c r="G1570" s="48"/>
      <c r="H1570" s="48"/>
      <c r="I1570" s="48"/>
      <c r="J1570" s="48"/>
      <c r="K1570" s="48"/>
      <c r="L1570" s="48"/>
      <c r="M1570" s="48"/>
      <c r="N1570" s="48"/>
      <c r="O1570" s="50"/>
      <c r="P1570" s="52"/>
    </row>
    <row r="1571" spans="1:16" ht="15">
      <c r="A1571" s="49" t="s">
        <v>1703</v>
      </c>
      <c r="B1571" s="49"/>
      <c r="C1571" s="51" t="s">
        <v>1704</v>
      </c>
      <c r="D1571" s="49" t="s">
        <v>2802</v>
      </c>
      <c r="E1571" s="47" t="s">
        <v>629</v>
      </c>
      <c r="F1571" s="47" t="s">
        <v>55</v>
      </c>
      <c r="G1571" s="47"/>
      <c r="H1571" s="47" t="s">
        <v>501</v>
      </c>
      <c r="I1571" s="39">
        <v>4.9</v>
      </c>
      <c r="J1571" s="47" t="s">
        <v>3881</v>
      </c>
      <c r="K1571" s="47"/>
      <c r="L1571" s="47" t="s">
        <v>2202</v>
      </c>
      <c r="M1571" s="47">
        <v>2</v>
      </c>
      <c r="N1571" s="47" t="s">
        <v>1705</v>
      </c>
      <c r="O1571" s="49"/>
      <c r="P1571" s="51"/>
    </row>
    <row r="1572" spans="1:16" ht="15.75" thickBot="1">
      <c r="A1572" s="50"/>
      <c r="B1572" s="50"/>
      <c r="C1572" s="52"/>
      <c r="D1572" s="50"/>
      <c r="E1572" s="48"/>
      <c r="F1572" s="48"/>
      <c r="G1572" s="48"/>
      <c r="H1572" s="48"/>
      <c r="I1572" s="38">
        <v>2</v>
      </c>
      <c r="J1572" s="48"/>
      <c r="K1572" s="48"/>
      <c r="L1572" s="48"/>
      <c r="M1572" s="48"/>
      <c r="N1572" s="48"/>
      <c r="O1572" s="50"/>
      <c r="P1572" s="52"/>
    </row>
    <row r="1573" spans="1:16" ht="15.75" thickBot="1">
      <c r="A1573" s="6" t="s">
        <v>1009</v>
      </c>
      <c r="B1573" s="10" t="s">
        <v>2121</v>
      </c>
      <c r="C1573" s="11" t="s">
        <v>1706</v>
      </c>
      <c r="D1573" s="10"/>
      <c r="E1573" s="38"/>
      <c r="F1573" s="38"/>
      <c r="G1573" s="38"/>
      <c r="H1573" s="38" t="s">
        <v>2123</v>
      </c>
      <c r="I1573" s="38" t="s">
        <v>2124</v>
      </c>
      <c r="J1573" s="38"/>
      <c r="K1573" s="38"/>
      <c r="L1573" s="38" t="s">
        <v>2165</v>
      </c>
      <c r="M1573" s="38">
        <v>1</v>
      </c>
      <c r="N1573" s="38"/>
      <c r="O1573" s="10"/>
      <c r="P1573" s="25" t="str">
        <f>HYPERLINK("http://biade.itrust.de/biade/lpext.dll?f=id&amp;id=biadb%3Ar%3A491030&amp;t=main-h.htm","491030")</f>
        <v>491030</v>
      </c>
    </row>
    <row r="1574" spans="1:16" ht="15">
      <c r="A1574" s="49" t="s">
        <v>1010</v>
      </c>
      <c r="B1574" s="49" t="s">
        <v>1707</v>
      </c>
      <c r="C1574" s="51" t="s">
        <v>1708</v>
      </c>
      <c r="D1574" s="49" t="s">
        <v>713</v>
      </c>
      <c r="E1574" s="47" t="s">
        <v>2912</v>
      </c>
      <c r="F1574" s="47">
        <v>61</v>
      </c>
      <c r="G1574" s="47"/>
      <c r="H1574" s="47" t="s">
        <v>2164</v>
      </c>
      <c r="I1574" s="39">
        <v>100</v>
      </c>
      <c r="J1574" s="47" t="s">
        <v>3881</v>
      </c>
      <c r="K1574" s="47" t="s">
        <v>2533</v>
      </c>
      <c r="L1574" s="47" t="s">
        <v>2130</v>
      </c>
      <c r="M1574" s="47">
        <v>2</v>
      </c>
      <c r="N1574" s="47" t="s">
        <v>1709</v>
      </c>
      <c r="O1574" s="49"/>
      <c r="P1574" s="51"/>
    </row>
    <row r="1575" spans="1:16" ht="15.75" thickBot="1">
      <c r="A1575" s="50"/>
      <c r="B1575" s="50"/>
      <c r="C1575" s="52"/>
      <c r="D1575" s="50"/>
      <c r="E1575" s="48"/>
      <c r="F1575" s="48"/>
      <c r="G1575" s="48"/>
      <c r="H1575" s="48"/>
      <c r="I1575" s="38">
        <v>20</v>
      </c>
      <c r="J1575" s="48"/>
      <c r="K1575" s="48"/>
      <c r="L1575" s="48"/>
      <c r="M1575" s="48"/>
      <c r="N1575" s="48"/>
      <c r="O1575" s="50"/>
      <c r="P1575" s="52"/>
    </row>
    <row r="1576" spans="1:16" ht="15.75" thickBot="1">
      <c r="A1576" s="6" t="s">
        <v>1710</v>
      </c>
      <c r="B1576" s="10"/>
      <c r="C1576" s="11" t="s">
        <v>1711</v>
      </c>
      <c r="D1576" s="10" t="s">
        <v>1712</v>
      </c>
      <c r="E1576" s="38" t="s">
        <v>1713</v>
      </c>
      <c r="F1576" s="38" t="s">
        <v>1714</v>
      </c>
      <c r="G1576" s="38"/>
      <c r="H1576" s="38" t="s">
        <v>1224</v>
      </c>
      <c r="I1576" s="38" t="s">
        <v>2124</v>
      </c>
      <c r="J1576" s="38"/>
      <c r="K1576" s="38" t="s">
        <v>2187</v>
      </c>
      <c r="L1576" s="38" t="s">
        <v>2200</v>
      </c>
      <c r="M1576" s="38"/>
      <c r="N1576" s="38"/>
      <c r="O1576" s="10"/>
      <c r="P1576" s="25" t="str">
        <f>HYPERLINK("http://biade.itrust.de/biade/lpext.dll?f=id&amp;id=biadb%3Ar%3A038290&amp;t=main-h.htm","38290")</f>
        <v>38290</v>
      </c>
    </row>
    <row r="1577" spans="1:16" ht="15.75" thickBot="1">
      <c r="A1577" s="21" t="s">
        <v>1715</v>
      </c>
      <c r="B1577" s="22" t="s">
        <v>1716</v>
      </c>
      <c r="C1577" s="23" t="s">
        <v>1717</v>
      </c>
      <c r="D1577" s="22" t="s">
        <v>4164</v>
      </c>
      <c r="E1577" s="43" t="s">
        <v>1718</v>
      </c>
      <c r="F1577" s="43">
        <v>35</v>
      </c>
      <c r="G1577" s="43"/>
      <c r="H1577" s="43" t="s">
        <v>3460</v>
      </c>
      <c r="I1577" s="43" t="s">
        <v>2124</v>
      </c>
      <c r="J1577" s="43"/>
      <c r="K1577" s="43" t="s">
        <v>2187</v>
      </c>
      <c r="L1577" s="43" t="s">
        <v>2200</v>
      </c>
      <c r="M1577" s="43"/>
      <c r="N1577" s="43"/>
      <c r="O1577" s="22"/>
      <c r="P1577" s="35" t="str">
        <f>HYPERLINK("http://biade.itrust.de/biade/lpext.dll?f=id&amp;id=biadb%3Ar%3A496431&amp;t=main-h.htm","496431")</f>
        <v>496431</v>
      </c>
    </row>
    <row r="1578" spans="1:16" ht="15">
      <c r="A1578" s="49" t="s">
        <v>1719</v>
      </c>
      <c r="B1578" s="49" t="s">
        <v>1720</v>
      </c>
      <c r="C1578" s="51" t="s">
        <v>1721</v>
      </c>
      <c r="D1578" s="49" t="s">
        <v>798</v>
      </c>
      <c r="E1578" s="47" t="s">
        <v>1722</v>
      </c>
      <c r="F1578" s="47" t="s">
        <v>1723</v>
      </c>
      <c r="G1578" s="47" t="s">
        <v>4074</v>
      </c>
      <c r="H1578" s="47" t="s">
        <v>3460</v>
      </c>
      <c r="I1578" s="39">
        <v>0.1</v>
      </c>
      <c r="J1578" s="47">
        <v>2</v>
      </c>
      <c r="K1578" s="47" t="s">
        <v>2187</v>
      </c>
      <c r="L1578" s="47" t="s">
        <v>2200</v>
      </c>
      <c r="M1578" s="47">
        <v>2</v>
      </c>
      <c r="N1578" s="47"/>
      <c r="O1578" s="49"/>
      <c r="P1578" s="51"/>
    </row>
    <row r="1579" spans="1:16" ht="15.75" thickBot="1">
      <c r="A1579" s="50"/>
      <c r="B1579" s="50"/>
      <c r="C1579" s="52"/>
      <c r="D1579" s="50"/>
      <c r="E1579" s="48"/>
      <c r="F1579" s="48"/>
      <c r="G1579" s="48"/>
      <c r="H1579" s="48"/>
      <c r="I1579" s="38">
        <v>0.011</v>
      </c>
      <c r="J1579" s="48"/>
      <c r="K1579" s="48"/>
      <c r="L1579" s="48"/>
      <c r="M1579" s="48"/>
      <c r="N1579" s="48"/>
      <c r="O1579" s="50"/>
      <c r="P1579" s="52"/>
    </row>
    <row r="1580" spans="1:16" ht="26.25" thickBot="1">
      <c r="A1580" s="6" t="s">
        <v>1724</v>
      </c>
      <c r="B1580" s="10" t="s">
        <v>1015</v>
      </c>
      <c r="C1580" s="11" t="s">
        <v>1725</v>
      </c>
      <c r="D1580" s="10" t="s">
        <v>3778</v>
      </c>
      <c r="E1580" s="38" t="s">
        <v>1726</v>
      </c>
      <c r="F1580" s="38" t="s">
        <v>2557</v>
      </c>
      <c r="G1580" s="38" t="s">
        <v>528</v>
      </c>
      <c r="H1580" s="38" t="s">
        <v>3220</v>
      </c>
      <c r="I1580" s="38" t="s">
        <v>2124</v>
      </c>
      <c r="J1580" s="38"/>
      <c r="K1580" s="38"/>
      <c r="L1580" s="38" t="s">
        <v>2165</v>
      </c>
      <c r="M1580" s="38">
        <v>1</v>
      </c>
      <c r="N1580" s="38" t="s">
        <v>2144</v>
      </c>
      <c r="O1580" s="10"/>
      <c r="P1580" s="25" t="str">
        <f>HYPERLINK("http://biade.itrust.de/biade/lpext.dll?f=id&amp;id=biadb%3Ar%3A029710&amp;t=main-h.htm","29710")</f>
        <v>29710</v>
      </c>
    </row>
    <row r="1581" spans="1:16" ht="15">
      <c r="A1581" s="49" t="s">
        <v>1727</v>
      </c>
      <c r="B1581" s="7" t="s">
        <v>1728</v>
      </c>
      <c r="C1581" s="51" t="s">
        <v>1729</v>
      </c>
      <c r="D1581" s="49" t="s">
        <v>2227</v>
      </c>
      <c r="E1581" s="47">
        <v>34</v>
      </c>
      <c r="F1581" s="47" t="s">
        <v>3884</v>
      </c>
      <c r="G1581" s="47"/>
      <c r="H1581" s="47" t="s">
        <v>2164</v>
      </c>
      <c r="I1581" s="47" t="s">
        <v>2124</v>
      </c>
      <c r="J1581" s="47"/>
      <c r="K1581" s="47"/>
      <c r="L1581" s="47" t="s">
        <v>2165</v>
      </c>
      <c r="M1581" s="47">
        <v>2</v>
      </c>
      <c r="N1581" s="47"/>
      <c r="O1581" s="49"/>
      <c r="P1581" s="51"/>
    </row>
    <row r="1582" spans="1:16" ht="15.75" thickBot="1">
      <c r="A1582" s="50"/>
      <c r="B1582" s="10" t="s">
        <v>1262</v>
      </c>
      <c r="C1582" s="52"/>
      <c r="D1582" s="50"/>
      <c r="E1582" s="48"/>
      <c r="F1582" s="48"/>
      <c r="G1582" s="48"/>
      <c r="H1582" s="48"/>
      <c r="I1582" s="48"/>
      <c r="J1582" s="48"/>
      <c r="K1582" s="48"/>
      <c r="L1582" s="48"/>
      <c r="M1582" s="48"/>
      <c r="N1582" s="48"/>
      <c r="O1582" s="50"/>
      <c r="P1582" s="52"/>
    </row>
    <row r="1583" spans="1:16" ht="15">
      <c r="A1583" s="49" t="s">
        <v>1730</v>
      </c>
      <c r="B1583" s="7" t="s">
        <v>1731</v>
      </c>
      <c r="C1583" s="51" t="s">
        <v>1732</v>
      </c>
      <c r="D1583" s="49"/>
      <c r="E1583" s="47"/>
      <c r="F1583" s="47"/>
      <c r="G1583" s="47"/>
      <c r="H1583" s="47" t="s">
        <v>2123</v>
      </c>
      <c r="I1583" s="47"/>
      <c r="J1583" s="47"/>
      <c r="K1583" s="47"/>
      <c r="L1583" s="47" t="s">
        <v>2165</v>
      </c>
      <c r="M1583" s="47" t="s">
        <v>2849</v>
      </c>
      <c r="N1583" s="47"/>
      <c r="O1583" s="49"/>
      <c r="P1583" s="51"/>
    </row>
    <row r="1584" spans="1:16" ht="15.75" thickBot="1">
      <c r="A1584" s="50"/>
      <c r="B1584" s="10" t="s">
        <v>1262</v>
      </c>
      <c r="C1584" s="52"/>
      <c r="D1584" s="50"/>
      <c r="E1584" s="48"/>
      <c r="F1584" s="48"/>
      <c r="G1584" s="48"/>
      <c r="H1584" s="48"/>
      <c r="I1584" s="48"/>
      <c r="J1584" s="48"/>
      <c r="K1584" s="48"/>
      <c r="L1584" s="48"/>
      <c r="M1584" s="48"/>
      <c r="N1584" s="48"/>
      <c r="O1584" s="50"/>
      <c r="P1584" s="52"/>
    </row>
    <row r="1585" spans="1:16" ht="15.75" thickBot="1">
      <c r="A1585" s="6" t="s">
        <v>1733</v>
      </c>
      <c r="B1585" s="10"/>
      <c r="C1585" s="11" t="s">
        <v>1734</v>
      </c>
      <c r="D1585" s="10" t="s">
        <v>2128</v>
      </c>
      <c r="E1585" s="38" t="s">
        <v>3647</v>
      </c>
      <c r="F1585" s="38" t="s">
        <v>3648</v>
      </c>
      <c r="G1585" s="38" t="s">
        <v>3940</v>
      </c>
      <c r="H1585" s="38" t="s">
        <v>2164</v>
      </c>
      <c r="I1585" s="38" t="s">
        <v>2124</v>
      </c>
      <c r="J1585" s="38"/>
      <c r="K1585" s="38"/>
      <c r="L1585" s="38" t="s">
        <v>2165</v>
      </c>
      <c r="M1585" s="38">
        <v>1</v>
      </c>
      <c r="N1585" s="38"/>
      <c r="O1585" s="10"/>
      <c r="P1585" s="25" t="str">
        <f>HYPERLINK("http://biade.itrust.de/biade/lpext.dll?f=id&amp;id=biadb%3Ar%3A123194&amp;t=main-h.htm","123194")</f>
        <v>123194</v>
      </c>
    </row>
    <row r="1586" spans="1:16" ht="15.75" thickBot="1">
      <c r="A1586" s="6" t="s">
        <v>1735</v>
      </c>
      <c r="B1586" s="10" t="s">
        <v>2121</v>
      </c>
      <c r="C1586" s="11" t="s">
        <v>1736</v>
      </c>
      <c r="D1586" s="10"/>
      <c r="E1586" s="38"/>
      <c r="F1586" s="38"/>
      <c r="G1586" s="38"/>
      <c r="H1586" s="38" t="s">
        <v>2123</v>
      </c>
      <c r="I1586" s="38" t="s">
        <v>2124</v>
      </c>
      <c r="J1586" s="38"/>
      <c r="K1586" s="38"/>
      <c r="L1586" s="38" t="s">
        <v>2165</v>
      </c>
      <c r="M1586" s="38"/>
      <c r="N1586" s="38"/>
      <c r="O1586" s="10"/>
      <c r="P1586" s="25" t="str">
        <f>HYPERLINK("http://biade.itrust.de/biade/lpext.dll?f=id&amp;id=biadb%3Ar%3A100457&amp;t=main-h.htm","100457")</f>
        <v>100457</v>
      </c>
    </row>
    <row r="1587" spans="1:16" ht="15.75" thickBot="1">
      <c r="A1587" s="6" t="s">
        <v>1737</v>
      </c>
      <c r="B1587" s="10" t="s">
        <v>2121</v>
      </c>
      <c r="C1587" s="11" t="s">
        <v>1738</v>
      </c>
      <c r="D1587" s="10"/>
      <c r="E1587" s="38"/>
      <c r="F1587" s="38"/>
      <c r="G1587" s="38"/>
      <c r="H1587" s="38" t="s">
        <v>2123</v>
      </c>
      <c r="I1587" s="38" t="s">
        <v>2124</v>
      </c>
      <c r="J1587" s="38"/>
      <c r="K1587" s="38"/>
      <c r="L1587" s="38" t="s">
        <v>2165</v>
      </c>
      <c r="M1587" s="38"/>
      <c r="N1587" s="38"/>
      <c r="O1587" s="10"/>
      <c r="P1587" s="25" t="str">
        <f>HYPERLINK("http://biade.itrust.de/biade/lpext.dll?f=id&amp;id=biadb%3Ar%3A100264&amp;t=main-h.htm","100264")</f>
        <v>100264</v>
      </c>
    </row>
    <row r="1588" spans="1:16" ht="15.75" thickBot="1">
      <c r="A1588" s="6" t="s">
        <v>1739</v>
      </c>
      <c r="B1588" s="10" t="s">
        <v>2121</v>
      </c>
      <c r="C1588" s="11" t="s">
        <v>1740</v>
      </c>
      <c r="D1588" s="10" t="s">
        <v>2128</v>
      </c>
      <c r="E1588" s="38">
        <v>65</v>
      </c>
      <c r="F1588" s="38" t="s">
        <v>2960</v>
      </c>
      <c r="G1588" s="38"/>
      <c r="H1588" s="38" t="s">
        <v>2129</v>
      </c>
      <c r="I1588" s="38" t="s">
        <v>2124</v>
      </c>
      <c r="J1588" s="38"/>
      <c r="K1588" s="38" t="s">
        <v>2188</v>
      </c>
      <c r="L1588" s="38" t="s">
        <v>2130</v>
      </c>
      <c r="M1588" s="38">
        <v>1</v>
      </c>
      <c r="N1588" s="38"/>
      <c r="O1588" s="10"/>
      <c r="P1588" s="25" t="str">
        <f>HYPERLINK("http://biade.itrust.de/biade/lpext.dll?f=id&amp;id=biadb%3Ar%3A510707&amp;t=main-h.htm","510707")</f>
        <v>510707</v>
      </c>
    </row>
    <row r="1589" spans="1:16" ht="15.75" thickBot="1">
      <c r="A1589" s="6" t="s">
        <v>1011</v>
      </c>
      <c r="B1589" s="10"/>
      <c r="C1589" s="11" t="s">
        <v>1741</v>
      </c>
      <c r="D1589" s="10" t="s">
        <v>828</v>
      </c>
      <c r="E1589" s="38" t="s">
        <v>1582</v>
      </c>
      <c r="F1589" s="38" t="s">
        <v>1742</v>
      </c>
      <c r="G1589" s="38"/>
      <c r="H1589" s="38" t="s">
        <v>1224</v>
      </c>
      <c r="I1589" s="38" t="s">
        <v>2124</v>
      </c>
      <c r="J1589" s="38"/>
      <c r="K1589" s="38" t="s">
        <v>2157</v>
      </c>
      <c r="L1589" s="38" t="s">
        <v>2136</v>
      </c>
      <c r="M1589" s="38">
        <v>3</v>
      </c>
      <c r="N1589" s="38"/>
      <c r="O1589" s="10"/>
      <c r="P1589" s="25" t="str">
        <f>HYPERLINK("http://biade.itrust.de/biade/lpext.dll?f=id&amp;id=biadb%3Ar%3A531431&amp;t=main-h.htm","531431")</f>
        <v>531431</v>
      </c>
    </row>
    <row r="1590" spans="1:16" ht="15.75" thickBot="1">
      <c r="A1590" s="6" t="s">
        <v>1743</v>
      </c>
      <c r="B1590" s="10" t="s">
        <v>2121</v>
      </c>
      <c r="C1590" s="11" t="s">
        <v>1744</v>
      </c>
      <c r="D1590" s="10"/>
      <c r="E1590" s="38"/>
      <c r="F1590" s="38"/>
      <c r="G1590" s="38"/>
      <c r="H1590" s="38" t="s">
        <v>2123</v>
      </c>
      <c r="I1590" s="38" t="s">
        <v>2124</v>
      </c>
      <c r="J1590" s="38"/>
      <c r="K1590" s="38"/>
      <c r="L1590" s="38" t="s">
        <v>2125</v>
      </c>
      <c r="M1590" s="38"/>
      <c r="N1590" s="38"/>
      <c r="O1590" s="10"/>
      <c r="P1590" s="11"/>
    </row>
    <row r="1591" spans="1:16" ht="15.75" thickBot="1">
      <c r="A1591" s="6" t="s">
        <v>1745</v>
      </c>
      <c r="B1591" s="10" t="s">
        <v>1746</v>
      </c>
      <c r="C1591" s="11" t="s">
        <v>1747</v>
      </c>
      <c r="D1591" s="10" t="s">
        <v>1229</v>
      </c>
      <c r="E1591" s="38">
        <v>45</v>
      </c>
      <c r="F1591" s="38" t="s">
        <v>1231</v>
      </c>
      <c r="G1591" s="38" t="s">
        <v>894</v>
      </c>
      <c r="H1591" s="38" t="s">
        <v>1232</v>
      </c>
      <c r="I1591" s="38" t="s">
        <v>2124</v>
      </c>
      <c r="J1591" s="38"/>
      <c r="K1591" s="38" t="s">
        <v>2187</v>
      </c>
      <c r="L1591" s="38" t="s">
        <v>2165</v>
      </c>
      <c r="M1591" s="38">
        <v>3</v>
      </c>
      <c r="N1591" s="38"/>
      <c r="O1591" s="10"/>
      <c r="P1591" s="25" t="str">
        <f>HYPERLINK("http://biade.itrust.de/biade/lpext.dll?f=id&amp;id=biadb%3Ar%3A510233&amp;t=main-h.htm","510233")</f>
        <v>510233</v>
      </c>
    </row>
    <row r="1592" spans="1:16" ht="15.75" thickBot="1">
      <c r="A1592" s="6" t="s">
        <v>1748</v>
      </c>
      <c r="B1592" s="10" t="s">
        <v>2177</v>
      </c>
      <c r="C1592" s="11" t="s">
        <v>1749</v>
      </c>
      <c r="D1592" s="10"/>
      <c r="E1592" s="38"/>
      <c r="F1592" s="38"/>
      <c r="G1592" s="38"/>
      <c r="H1592" s="38" t="s">
        <v>2123</v>
      </c>
      <c r="I1592" s="38" t="s">
        <v>2124</v>
      </c>
      <c r="J1592" s="38"/>
      <c r="K1592" s="38"/>
      <c r="L1592" s="38" t="s">
        <v>2125</v>
      </c>
      <c r="M1592" s="38">
        <v>3</v>
      </c>
      <c r="N1592" s="38"/>
      <c r="O1592" s="10"/>
      <c r="P1592" s="25" t="str">
        <f>HYPERLINK("http://biade.itrust.de/biade/lpext.dll?f=id&amp;id=biadb%3Ar%3A012960&amp;t=main-h.htm","12960")</f>
        <v>12960</v>
      </c>
    </row>
    <row r="1593" spans="1:16" ht="16.5" thickBot="1">
      <c r="A1593" s="21" t="s">
        <v>1750</v>
      </c>
      <c r="B1593" s="22"/>
      <c r="C1593" s="23" t="s">
        <v>1751</v>
      </c>
      <c r="D1593" s="22" t="s">
        <v>2152</v>
      </c>
      <c r="E1593" s="43" t="s">
        <v>1752</v>
      </c>
      <c r="F1593" s="43" t="s">
        <v>1753</v>
      </c>
      <c r="G1593" s="43" t="s">
        <v>1754</v>
      </c>
      <c r="H1593" s="43" t="s">
        <v>3220</v>
      </c>
      <c r="I1593" s="43" t="s">
        <v>1755</v>
      </c>
      <c r="J1593" s="43">
        <v>1</v>
      </c>
      <c r="K1593" s="43" t="s">
        <v>2157</v>
      </c>
      <c r="L1593" s="43" t="s">
        <v>2136</v>
      </c>
      <c r="M1593" s="43">
        <v>3</v>
      </c>
      <c r="N1593" s="43"/>
      <c r="O1593" s="22"/>
      <c r="P1593" s="35" t="str">
        <f>HYPERLINK("http://biade.itrust.de/biade/lpext.dll?f=id&amp;id=biadb%3Ar%3A001250&amp;t=main-h.htm","1250")</f>
        <v>1250</v>
      </c>
    </row>
    <row r="1594" spans="1:16" ht="25.5">
      <c r="A1594" s="49" t="s">
        <v>1756</v>
      </c>
      <c r="B1594" s="7" t="s">
        <v>1014</v>
      </c>
      <c r="C1594" s="51" t="s">
        <v>1757</v>
      </c>
      <c r="D1594" s="49"/>
      <c r="E1594" s="47"/>
      <c r="F1594" s="47"/>
      <c r="G1594" s="47"/>
      <c r="H1594" s="47" t="s">
        <v>2123</v>
      </c>
      <c r="I1594" s="47" t="s">
        <v>2124</v>
      </c>
      <c r="J1594" s="47"/>
      <c r="K1594" s="47"/>
      <c r="L1594" s="47" t="s">
        <v>2165</v>
      </c>
      <c r="M1594" s="47">
        <v>1</v>
      </c>
      <c r="N1594" s="47"/>
      <c r="O1594" s="49"/>
      <c r="P1594" s="51"/>
    </row>
    <row r="1595" spans="1:16" ht="15.75" thickBot="1">
      <c r="A1595" s="50"/>
      <c r="B1595" s="10" t="s">
        <v>1262</v>
      </c>
      <c r="C1595" s="52"/>
      <c r="D1595" s="50"/>
      <c r="E1595" s="48"/>
      <c r="F1595" s="48"/>
      <c r="G1595" s="48"/>
      <c r="H1595" s="48"/>
      <c r="I1595" s="48"/>
      <c r="J1595" s="48"/>
      <c r="K1595" s="48"/>
      <c r="L1595" s="48"/>
      <c r="M1595" s="48"/>
      <c r="N1595" s="48"/>
      <c r="O1595" s="50"/>
      <c r="P1595" s="52"/>
    </row>
    <row r="1596" spans="1:16" ht="15.75" thickBot="1">
      <c r="A1596" s="6" t="s">
        <v>1758</v>
      </c>
      <c r="B1596" s="10" t="s">
        <v>1759</v>
      </c>
      <c r="C1596" s="11"/>
      <c r="D1596" s="10"/>
      <c r="E1596" s="38"/>
      <c r="F1596" s="38"/>
      <c r="G1596" s="38"/>
      <c r="H1596" s="38" t="s">
        <v>2123</v>
      </c>
      <c r="I1596" s="38" t="s">
        <v>2124</v>
      </c>
      <c r="J1596" s="38"/>
      <c r="K1596" s="38"/>
      <c r="L1596" s="38"/>
      <c r="M1596" s="38" t="s">
        <v>2221</v>
      </c>
      <c r="N1596" s="38"/>
      <c r="O1596" s="10"/>
      <c r="P1596" s="11"/>
    </row>
    <row r="1597" spans="1:16" ht="15.75" thickBot="1">
      <c r="A1597" s="6" t="s">
        <v>1760</v>
      </c>
      <c r="B1597" s="10"/>
      <c r="C1597" s="11" t="s">
        <v>1761</v>
      </c>
      <c r="D1597" s="10" t="s">
        <v>2476</v>
      </c>
      <c r="E1597" s="38">
        <v>12</v>
      </c>
      <c r="F1597" s="38" t="s">
        <v>2507</v>
      </c>
      <c r="G1597" s="38"/>
      <c r="H1597" s="38" t="s">
        <v>501</v>
      </c>
      <c r="I1597" s="38" t="s">
        <v>2124</v>
      </c>
      <c r="J1597" s="38"/>
      <c r="K1597" s="38" t="s">
        <v>2457</v>
      </c>
      <c r="L1597" s="38" t="s">
        <v>2202</v>
      </c>
      <c r="M1597" s="38" t="s">
        <v>2221</v>
      </c>
      <c r="N1597" s="38"/>
      <c r="O1597" s="10"/>
      <c r="P1597" s="25" t="str">
        <f>HYPERLINK("http://biade.itrust.de/biade/lpext.dll?f=id&amp;id=biadb%3Ar%3A007010&amp;t=main-h.htm","7010")</f>
        <v>7010</v>
      </c>
    </row>
    <row r="1598" spans="1:16" ht="15.75" thickBot="1">
      <c r="A1598" s="6" t="s">
        <v>1762</v>
      </c>
      <c r="B1598" s="10" t="s">
        <v>1763</v>
      </c>
      <c r="C1598" s="11" t="s">
        <v>1764</v>
      </c>
      <c r="D1598" s="10" t="s">
        <v>194</v>
      </c>
      <c r="E1598" s="38" t="s">
        <v>1765</v>
      </c>
      <c r="F1598" s="38" t="s">
        <v>1766</v>
      </c>
      <c r="G1598" s="38"/>
      <c r="H1598" s="38" t="s">
        <v>2164</v>
      </c>
      <c r="I1598" s="38" t="s">
        <v>2124</v>
      </c>
      <c r="J1598" s="38"/>
      <c r="K1598" s="38"/>
      <c r="L1598" s="38" t="s">
        <v>2216</v>
      </c>
      <c r="M1598" s="38">
        <v>1</v>
      </c>
      <c r="N1598" s="38" t="s">
        <v>1767</v>
      </c>
      <c r="O1598" s="10"/>
      <c r="P1598" s="25" t="str">
        <f>HYPERLINK("http://biade.itrust.de/biade/lpext.dll?f=id&amp;id=biadb%3Ar%3A002430&amp;t=main-h.htm","2430")</f>
        <v>2430</v>
      </c>
    </row>
    <row r="1599" spans="1:16" ht="15.75" thickBot="1">
      <c r="A1599" s="6" t="s">
        <v>1768</v>
      </c>
      <c r="B1599" s="10" t="s">
        <v>2121</v>
      </c>
      <c r="C1599" s="11" t="s">
        <v>1769</v>
      </c>
      <c r="D1599" s="10" t="s">
        <v>2134</v>
      </c>
      <c r="E1599" s="38">
        <v>36</v>
      </c>
      <c r="F1599" s="38" t="s">
        <v>1770</v>
      </c>
      <c r="G1599" s="38"/>
      <c r="H1599" s="38" t="s">
        <v>2129</v>
      </c>
      <c r="I1599" s="38" t="s">
        <v>2124</v>
      </c>
      <c r="J1599" s="38"/>
      <c r="K1599" s="38"/>
      <c r="L1599" s="38" t="s">
        <v>2165</v>
      </c>
      <c r="M1599" s="38">
        <v>1</v>
      </c>
      <c r="N1599" s="38"/>
      <c r="O1599" s="10"/>
      <c r="P1599" s="25" t="str">
        <f>HYPERLINK("http://biade.itrust.de/biade/lpext.dll?f=id&amp;id=biadb%3Ar%3A033480&amp;t=main-h.htm","33480")</f>
        <v>33480</v>
      </c>
    </row>
    <row r="1600" spans="1:16" ht="15.75" thickBot="1">
      <c r="A1600" s="6" t="s">
        <v>1771</v>
      </c>
      <c r="B1600" s="10" t="s">
        <v>4217</v>
      </c>
      <c r="C1600" s="11" t="s">
        <v>1772</v>
      </c>
      <c r="D1600" s="10" t="s">
        <v>2128</v>
      </c>
      <c r="E1600" s="38">
        <v>22</v>
      </c>
      <c r="F1600" s="38"/>
      <c r="G1600" s="38"/>
      <c r="H1600" s="38" t="s">
        <v>2129</v>
      </c>
      <c r="I1600" s="38" t="s">
        <v>2124</v>
      </c>
      <c r="J1600" s="38"/>
      <c r="K1600" s="38"/>
      <c r="L1600" s="38" t="s">
        <v>2136</v>
      </c>
      <c r="M1600" s="38" t="s">
        <v>2221</v>
      </c>
      <c r="N1600" s="38" t="s">
        <v>2144</v>
      </c>
      <c r="O1600" s="10"/>
      <c r="P1600" s="25" t="str">
        <f>HYPERLINK("http://biade.itrust.de/biade/lpext.dll?f=id&amp;id=biadb%3Ar%3A005920&amp;t=main-h.htm","5920")</f>
        <v>5920</v>
      </c>
    </row>
    <row r="1601" spans="1:16" ht="15">
      <c r="A1601" s="5" t="s">
        <v>1773</v>
      </c>
      <c r="B1601" s="49" t="s">
        <v>1774</v>
      </c>
      <c r="C1601" s="51" t="s">
        <v>1775</v>
      </c>
      <c r="D1601" s="49" t="s">
        <v>3859</v>
      </c>
      <c r="E1601" s="47">
        <v>11</v>
      </c>
      <c r="F1601" s="47">
        <v>43</v>
      </c>
      <c r="G1601" s="47"/>
      <c r="H1601" s="47" t="s">
        <v>2164</v>
      </c>
      <c r="I1601" s="47" t="s">
        <v>2124</v>
      </c>
      <c r="J1601" s="47"/>
      <c r="K1601" s="47"/>
      <c r="L1601" s="47" t="s">
        <v>2125</v>
      </c>
      <c r="M1601" s="47" t="s">
        <v>2221</v>
      </c>
      <c r="N1601" s="47"/>
      <c r="O1601" s="49"/>
      <c r="P1601" s="51"/>
    </row>
    <row r="1602" spans="1:16" ht="15.75" thickBot="1">
      <c r="A1602" s="6" t="s">
        <v>2865</v>
      </c>
      <c r="B1602" s="50"/>
      <c r="C1602" s="52"/>
      <c r="D1602" s="50"/>
      <c r="E1602" s="48"/>
      <c r="F1602" s="48"/>
      <c r="G1602" s="48"/>
      <c r="H1602" s="48"/>
      <c r="I1602" s="48"/>
      <c r="J1602" s="48"/>
      <c r="K1602" s="48"/>
      <c r="L1602" s="48"/>
      <c r="M1602" s="48"/>
      <c r="N1602" s="48"/>
      <c r="O1602" s="50"/>
      <c r="P1602" s="52"/>
    </row>
    <row r="1603" spans="1:16" ht="25.5">
      <c r="A1603" s="49" t="s">
        <v>1776</v>
      </c>
      <c r="B1603" s="7" t="s">
        <v>1777</v>
      </c>
      <c r="C1603" s="51" t="s">
        <v>1778</v>
      </c>
      <c r="D1603" s="49" t="s">
        <v>2370</v>
      </c>
      <c r="E1603" s="47" t="s">
        <v>1779</v>
      </c>
      <c r="F1603" s="47" t="s">
        <v>1780</v>
      </c>
      <c r="G1603" s="47"/>
      <c r="H1603" s="47" t="s">
        <v>2164</v>
      </c>
      <c r="I1603" s="47" t="s">
        <v>2124</v>
      </c>
      <c r="J1603" s="47"/>
      <c r="K1603" s="47"/>
      <c r="L1603" s="47" t="s">
        <v>2125</v>
      </c>
      <c r="M1603" s="47" t="s">
        <v>2221</v>
      </c>
      <c r="N1603" s="47"/>
      <c r="O1603" s="49"/>
      <c r="P1603" s="51"/>
    </row>
    <row r="1604" spans="1:16" ht="15.75" thickBot="1">
      <c r="A1604" s="50"/>
      <c r="B1604" s="10" t="s">
        <v>5</v>
      </c>
      <c r="C1604" s="52"/>
      <c r="D1604" s="50"/>
      <c r="E1604" s="48"/>
      <c r="F1604" s="48"/>
      <c r="G1604" s="48"/>
      <c r="H1604" s="48"/>
      <c r="I1604" s="48"/>
      <c r="J1604" s="48"/>
      <c r="K1604" s="48"/>
      <c r="L1604" s="48"/>
      <c r="M1604" s="48"/>
      <c r="N1604" s="48"/>
      <c r="O1604" s="50"/>
      <c r="P1604" s="52"/>
    </row>
    <row r="1605" spans="1:16" ht="15">
      <c r="A1605" s="5" t="s">
        <v>1781</v>
      </c>
      <c r="B1605" s="49" t="s">
        <v>2121</v>
      </c>
      <c r="C1605" s="51" t="s">
        <v>1783</v>
      </c>
      <c r="D1605" s="49"/>
      <c r="E1605" s="47"/>
      <c r="F1605" s="47"/>
      <c r="G1605" s="47"/>
      <c r="H1605" s="47" t="s">
        <v>2123</v>
      </c>
      <c r="I1605" s="47" t="s">
        <v>2124</v>
      </c>
      <c r="J1605" s="47"/>
      <c r="K1605" s="47"/>
      <c r="L1605" s="47" t="s">
        <v>2165</v>
      </c>
      <c r="M1605" s="47">
        <v>3</v>
      </c>
      <c r="N1605" s="47"/>
      <c r="O1605" s="49"/>
      <c r="P1605" s="51"/>
    </row>
    <row r="1606" spans="1:16" ht="15.75" thickBot="1">
      <c r="A1606" s="6" t="s">
        <v>1782</v>
      </c>
      <c r="B1606" s="50"/>
      <c r="C1606" s="52"/>
      <c r="D1606" s="50"/>
      <c r="E1606" s="48"/>
      <c r="F1606" s="48"/>
      <c r="G1606" s="48"/>
      <c r="H1606" s="48"/>
      <c r="I1606" s="48"/>
      <c r="J1606" s="48"/>
      <c r="K1606" s="48"/>
      <c r="L1606" s="48"/>
      <c r="M1606" s="48"/>
      <c r="N1606" s="48"/>
      <c r="O1606" s="50"/>
      <c r="P1606" s="52"/>
    </row>
    <row r="1607" spans="1:16" ht="15">
      <c r="A1607" s="49" t="s">
        <v>1784</v>
      </c>
      <c r="B1607" s="49" t="s">
        <v>2079</v>
      </c>
      <c r="C1607" s="51" t="s">
        <v>1785</v>
      </c>
      <c r="D1607" s="49" t="s">
        <v>2128</v>
      </c>
      <c r="E1607" s="47" t="s">
        <v>1786</v>
      </c>
      <c r="F1607" s="47">
        <v>25</v>
      </c>
      <c r="G1607" s="47" t="s">
        <v>2183</v>
      </c>
      <c r="H1607" s="47" t="s">
        <v>2129</v>
      </c>
      <c r="I1607" s="42">
        <v>440</v>
      </c>
      <c r="J1607" s="47">
        <v>2</v>
      </c>
      <c r="K1607" s="47" t="s">
        <v>2533</v>
      </c>
      <c r="L1607" s="47" t="s">
        <v>2130</v>
      </c>
      <c r="M1607" s="47">
        <v>2</v>
      </c>
      <c r="N1607" s="47" t="s">
        <v>1787</v>
      </c>
      <c r="O1607" s="49"/>
      <c r="P1607" s="51"/>
    </row>
    <row r="1608" spans="1:16" ht="15.75" thickBot="1">
      <c r="A1608" s="50"/>
      <c r="B1608" s="50"/>
      <c r="C1608" s="52"/>
      <c r="D1608" s="50"/>
      <c r="E1608" s="48"/>
      <c r="F1608" s="48"/>
      <c r="G1608" s="48"/>
      <c r="H1608" s="48"/>
      <c r="I1608" s="38">
        <v>100</v>
      </c>
      <c r="J1608" s="48"/>
      <c r="K1608" s="48"/>
      <c r="L1608" s="48"/>
      <c r="M1608" s="48"/>
      <c r="N1608" s="48"/>
      <c r="O1608" s="50"/>
      <c r="P1608" s="52"/>
    </row>
    <row r="1609" spans="1:16" ht="15.75" thickBot="1">
      <c r="A1609" s="6" t="s">
        <v>1788</v>
      </c>
      <c r="B1609" s="10" t="s">
        <v>2121</v>
      </c>
      <c r="C1609" s="11" t="s">
        <v>1789</v>
      </c>
      <c r="D1609" s="10"/>
      <c r="E1609" s="38"/>
      <c r="F1609" s="38"/>
      <c r="G1609" s="38"/>
      <c r="H1609" s="38" t="s">
        <v>2123</v>
      </c>
      <c r="I1609" s="38" t="s">
        <v>2124</v>
      </c>
      <c r="J1609" s="38"/>
      <c r="K1609" s="38"/>
      <c r="L1609" s="38" t="s">
        <v>2125</v>
      </c>
      <c r="M1609" s="38" t="s">
        <v>2221</v>
      </c>
      <c r="N1609" s="38"/>
      <c r="O1609" s="10"/>
      <c r="P1609" s="11"/>
    </row>
    <row r="1610" spans="1:16" ht="15.75" thickBot="1">
      <c r="A1610" s="6" t="s">
        <v>1790</v>
      </c>
      <c r="B1610" s="10" t="s">
        <v>2121</v>
      </c>
      <c r="C1610" s="11" t="s">
        <v>1791</v>
      </c>
      <c r="D1610" s="10"/>
      <c r="E1610" s="38"/>
      <c r="F1610" s="38"/>
      <c r="G1610" s="38"/>
      <c r="H1610" s="38" t="s">
        <v>2123</v>
      </c>
      <c r="I1610" s="38" t="s">
        <v>2124</v>
      </c>
      <c r="J1610" s="38"/>
      <c r="K1610" s="38"/>
      <c r="L1610" s="38" t="s">
        <v>2125</v>
      </c>
      <c r="M1610" s="38">
        <v>1</v>
      </c>
      <c r="N1610" s="38"/>
      <c r="O1610" s="10"/>
      <c r="P1610" s="25" t="str">
        <f>HYPERLINK("http://biade.itrust.de/biade/lpext.dll?f=id&amp;id=biadb%3Ar%3A005930&amp;t=main-h.htm","5930")</f>
        <v>5930</v>
      </c>
    </row>
    <row r="1611" spans="1:16" ht="15.75" thickBot="1">
      <c r="A1611" s="6" t="s">
        <v>1792</v>
      </c>
      <c r="B1611" s="10"/>
      <c r="C1611" s="11" t="s">
        <v>1793</v>
      </c>
      <c r="D1611" s="10" t="s">
        <v>2134</v>
      </c>
      <c r="E1611" s="38" t="s">
        <v>1794</v>
      </c>
      <c r="F1611" s="38" t="s">
        <v>3935</v>
      </c>
      <c r="G1611" s="38" t="s">
        <v>2184</v>
      </c>
      <c r="H1611" s="38" t="s">
        <v>2164</v>
      </c>
      <c r="I1611" s="38" t="s">
        <v>2124</v>
      </c>
      <c r="J1611" s="38"/>
      <c r="K1611" s="38"/>
      <c r="L1611" s="38" t="s">
        <v>2130</v>
      </c>
      <c r="M1611" s="38">
        <v>1</v>
      </c>
      <c r="N1611" s="38" t="s">
        <v>1795</v>
      </c>
      <c r="O1611" s="10"/>
      <c r="P1611" s="25" t="str">
        <f>HYPERLINK("http://biade.itrust.de/biade/lpext.dll?f=id&amp;id=biadb%3Ar%3A491174&amp;t=main-h.htm","491174")</f>
        <v>491174</v>
      </c>
    </row>
    <row r="1612" spans="1:16" ht="26.25" thickBot="1">
      <c r="A1612" s="21" t="s">
        <v>1796</v>
      </c>
      <c r="B1612" s="34" t="s">
        <v>1797</v>
      </c>
      <c r="C1612" s="23" t="s">
        <v>1798</v>
      </c>
      <c r="D1612" s="22" t="s">
        <v>2128</v>
      </c>
      <c r="E1612" s="43" t="s">
        <v>1799</v>
      </c>
      <c r="F1612" s="43" t="s">
        <v>3935</v>
      </c>
      <c r="G1612" s="43" t="s">
        <v>2184</v>
      </c>
      <c r="H1612" s="43" t="s">
        <v>2164</v>
      </c>
      <c r="I1612" s="43" t="s">
        <v>2124</v>
      </c>
      <c r="J1612" s="43"/>
      <c r="K1612" s="43"/>
      <c r="L1612" s="43" t="s">
        <v>2130</v>
      </c>
      <c r="M1612" s="43">
        <v>2</v>
      </c>
      <c r="N1612" s="43"/>
      <c r="O1612" s="22"/>
      <c r="P1612" s="35" t="str">
        <f>HYPERLINK("http://biade.itrust.de/biade/lpext.dll?f=id&amp;id=biadb%3Ar%3A492661&amp;t=main-h.htm","492661")</f>
        <v>492661</v>
      </c>
    </row>
    <row r="1613" spans="1:16" ht="15.75" thickBot="1">
      <c r="A1613" s="6" t="s">
        <v>1800</v>
      </c>
      <c r="B1613" s="10" t="s">
        <v>2121</v>
      </c>
      <c r="C1613" s="11" t="s">
        <v>1801</v>
      </c>
      <c r="D1613" s="10"/>
      <c r="E1613" s="38"/>
      <c r="F1613" s="38"/>
      <c r="G1613" s="38"/>
      <c r="H1613" s="38" t="s">
        <v>2123</v>
      </c>
      <c r="I1613" s="38" t="s">
        <v>2124</v>
      </c>
      <c r="J1613" s="38"/>
      <c r="K1613" s="38"/>
      <c r="L1613" s="38" t="s">
        <v>2130</v>
      </c>
      <c r="M1613" s="38">
        <v>1</v>
      </c>
      <c r="N1613" s="38"/>
      <c r="O1613" s="10"/>
      <c r="P1613" s="11"/>
    </row>
    <row r="1614" spans="1:16" ht="15.75" thickBot="1">
      <c r="A1614" s="6" t="s">
        <v>1012</v>
      </c>
      <c r="B1614" s="10" t="s">
        <v>1802</v>
      </c>
      <c r="C1614" s="11"/>
      <c r="D1614" s="10"/>
      <c r="E1614" s="38"/>
      <c r="F1614" s="38"/>
      <c r="G1614" s="38"/>
      <c r="H1614" s="38"/>
      <c r="I1614" s="38" t="s">
        <v>2124</v>
      </c>
      <c r="J1614" s="38"/>
      <c r="K1614" s="38"/>
      <c r="L1614" s="38"/>
      <c r="M1614" s="38"/>
      <c r="N1614" s="38"/>
      <c r="O1614" s="10"/>
      <c r="P1614" s="11"/>
    </row>
    <row r="1615" spans="1:16" ht="15">
      <c r="A1615" s="5" t="s">
        <v>1803</v>
      </c>
      <c r="B1615" s="49" t="s">
        <v>1804</v>
      </c>
      <c r="C1615" s="51" t="s">
        <v>1805</v>
      </c>
      <c r="D1615" s="49" t="s">
        <v>1806</v>
      </c>
      <c r="E1615" s="47" t="s">
        <v>1807</v>
      </c>
      <c r="F1615" s="47" t="s">
        <v>1808</v>
      </c>
      <c r="G1615" s="47"/>
      <c r="H1615" s="47" t="s">
        <v>2164</v>
      </c>
      <c r="I1615" s="47" t="s">
        <v>2124</v>
      </c>
      <c r="J1615" s="47"/>
      <c r="K1615" s="47"/>
      <c r="L1615" s="47" t="s">
        <v>2136</v>
      </c>
      <c r="M1615" s="47" t="s">
        <v>1809</v>
      </c>
      <c r="N1615" s="47"/>
      <c r="O1615" s="49"/>
      <c r="P1615" s="51"/>
    </row>
    <row r="1616" spans="1:16" ht="15.75" thickBot="1">
      <c r="A1616" s="6" t="s">
        <v>2865</v>
      </c>
      <c r="B1616" s="50"/>
      <c r="C1616" s="52"/>
      <c r="D1616" s="50"/>
      <c r="E1616" s="48"/>
      <c r="F1616" s="48"/>
      <c r="G1616" s="48"/>
      <c r="H1616" s="48"/>
      <c r="I1616" s="48"/>
      <c r="J1616" s="48"/>
      <c r="K1616" s="48"/>
      <c r="L1616" s="48"/>
      <c r="M1616" s="48"/>
      <c r="N1616" s="48"/>
      <c r="O1616" s="50"/>
      <c r="P1616" s="52"/>
    </row>
    <row r="1617" spans="1:16" ht="15">
      <c r="A1617" s="5" t="s">
        <v>1803</v>
      </c>
      <c r="B1617" s="49" t="s">
        <v>2604</v>
      </c>
      <c r="C1617" s="51" t="s">
        <v>1805</v>
      </c>
      <c r="D1617" s="49" t="s">
        <v>2187</v>
      </c>
      <c r="E1617" s="47" t="s">
        <v>3516</v>
      </c>
      <c r="F1617" s="47" t="s">
        <v>765</v>
      </c>
      <c r="G1617" s="47"/>
      <c r="H1617" s="47" t="s">
        <v>2123</v>
      </c>
      <c r="I1617" s="47" t="s">
        <v>2124</v>
      </c>
      <c r="J1617" s="47"/>
      <c r="K1617" s="47"/>
      <c r="L1617" s="47" t="s">
        <v>2125</v>
      </c>
      <c r="M1617" s="47" t="s">
        <v>1810</v>
      </c>
      <c r="N1617" s="47"/>
      <c r="O1617" s="49"/>
      <c r="P1617" s="51"/>
    </row>
    <row r="1618" spans="1:16" ht="15.75" thickBot="1">
      <c r="A1618" s="6" t="s">
        <v>2865</v>
      </c>
      <c r="B1618" s="50"/>
      <c r="C1618" s="52"/>
      <c r="D1618" s="50"/>
      <c r="E1618" s="48"/>
      <c r="F1618" s="48"/>
      <c r="G1618" s="48"/>
      <c r="H1618" s="48"/>
      <c r="I1618" s="48"/>
      <c r="J1618" s="48"/>
      <c r="K1618" s="48"/>
      <c r="L1618" s="48"/>
      <c r="M1618" s="48"/>
      <c r="N1618" s="48"/>
      <c r="O1618" s="50"/>
      <c r="P1618" s="52"/>
    </row>
    <row r="1619" spans="1:16" ht="15">
      <c r="A1619" s="5" t="s">
        <v>1811</v>
      </c>
      <c r="B1619" s="49"/>
      <c r="C1619" s="51" t="s">
        <v>1812</v>
      </c>
      <c r="D1619" s="49" t="s">
        <v>2128</v>
      </c>
      <c r="E1619" s="47">
        <v>22</v>
      </c>
      <c r="F1619" s="47" t="s">
        <v>4026</v>
      </c>
      <c r="G1619" s="47"/>
      <c r="H1619" s="47" t="s">
        <v>2129</v>
      </c>
      <c r="I1619" s="47" t="s">
        <v>2124</v>
      </c>
      <c r="J1619" s="47"/>
      <c r="K1619" s="47"/>
      <c r="L1619" s="47" t="s">
        <v>2165</v>
      </c>
      <c r="M1619" s="47">
        <v>3</v>
      </c>
      <c r="N1619" s="47" t="s">
        <v>2144</v>
      </c>
      <c r="O1619" s="49"/>
      <c r="P1619" s="51"/>
    </row>
    <row r="1620" spans="1:16" ht="15.75" thickBot="1">
      <c r="A1620" s="6" t="s">
        <v>1623</v>
      </c>
      <c r="B1620" s="50"/>
      <c r="C1620" s="52"/>
      <c r="D1620" s="50"/>
      <c r="E1620" s="48"/>
      <c r="F1620" s="48"/>
      <c r="G1620" s="48"/>
      <c r="H1620" s="48"/>
      <c r="I1620" s="48"/>
      <c r="J1620" s="48"/>
      <c r="K1620" s="48"/>
      <c r="L1620" s="48"/>
      <c r="M1620" s="48"/>
      <c r="N1620" s="48"/>
      <c r="O1620" s="50"/>
      <c r="P1620" s="52"/>
    </row>
    <row r="1621" spans="1:16" ht="15">
      <c r="A1621" s="5" t="s">
        <v>1813</v>
      </c>
      <c r="B1621" s="49" t="s">
        <v>2132</v>
      </c>
      <c r="C1621" s="51" t="s">
        <v>1814</v>
      </c>
      <c r="D1621" s="49" t="s">
        <v>2134</v>
      </c>
      <c r="E1621" s="47" t="s">
        <v>2162</v>
      </c>
      <c r="F1621" s="47" t="s">
        <v>2163</v>
      </c>
      <c r="G1621" s="47"/>
      <c r="H1621" s="47" t="s">
        <v>2129</v>
      </c>
      <c r="I1621" s="47" t="s">
        <v>2124</v>
      </c>
      <c r="J1621" s="47"/>
      <c r="K1621" s="47"/>
      <c r="L1621" s="47" t="s">
        <v>2136</v>
      </c>
      <c r="M1621" s="47">
        <v>1</v>
      </c>
      <c r="N1621" s="47" t="s">
        <v>3022</v>
      </c>
      <c r="O1621" s="49"/>
      <c r="P1621" s="51"/>
    </row>
    <row r="1622" spans="1:16" ht="15.75" thickBot="1">
      <c r="A1622" s="6" t="s">
        <v>2160</v>
      </c>
      <c r="B1622" s="50"/>
      <c r="C1622" s="52"/>
      <c r="D1622" s="50"/>
      <c r="E1622" s="48"/>
      <c r="F1622" s="48"/>
      <c r="G1622" s="48"/>
      <c r="H1622" s="48"/>
      <c r="I1622" s="48"/>
      <c r="J1622" s="48"/>
      <c r="K1622" s="48"/>
      <c r="L1622" s="48"/>
      <c r="M1622" s="48"/>
      <c r="N1622" s="48"/>
      <c r="O1622" s="50"/>
      <c r="P1622" s="52"/>
    </row>
    <row r="1623" spans="1:16" ht="15">
      <c r="A1623" s="49" t="s">
        <v>1013</v>
      </c>
      <c r="B1623" s="7" t="s">
        <v>1815</v>
      </c>
      <c r="C1623" s="51" t="s">
        <v>1816</v>
      </c>
      <c r="D1623" s="49"/>
      <c r="E1623" s="47"/>
      <c r="F1623" s="47"/>
      <c r="G1623" s="47"/>
      <c r="H1623" s="47" t="s">
        <v>2123</v>
      </c>
      <c r="I1623" s="47" t="s">
        <v>2124</v>
      </c>
      <c r="J1623" s="47"/>
      <c r="K1623" s="47"/>
      <c r="L1623" s="47" t="s">
        <v>2136</v>
      </c>
      <c r="M1623" s="47">
        <v>1</v>
      </c>
      <c r="N1623" s="47"/>
      <c r="O1623" s="49"/>
      <c r="P1623" s="51"/>
    </row>
    <row r="1624" spans="1:16" ht="15.75" thickBot="1">
      <c r="A1624" s="50"/>
      <c r="B1624" s="10" t="s">
        <v>1262</v>
      </c>
      <c r="C1624" s="52"/>
      <c r="D1624" s="50"/>
      <c r="E1624" s="48"/>
      <c r="F1624" s="48"/>
      <c r="G1624" s="48"/>
      <c r="H1624" s="48"/>
      <c r="I1624" s="48"/>
      <c r="J1624" s="48"/>
      <c r="K1624" s="48"/>
      <c r="L1624" s="48"/>
      <c r="M1624" s="48"/>
      <c r="N1624" s="48"/>
      <c r="O1624" s="50"/>
      <c r="P1624" s="52"/>
    </row>
    <row r="1625" spans="1:16" ht="15.75" thickBot="1">
      <c r="A1625" s="6" t="s">
        <v>1817</v>
      </c>
      <c r="B1625" s="10"/>
      <c r="C1625" s="11" t="s">
        <v>1818</v>
      </c>
      <c r="D1625" s="10" t="s">
        <v>1242</v>
      </c>
      <c r="E1625" s="38" t="s">
        <v>436</v>
      </c>
      <c r="F1625" s="38" t="s">
        <v>1362</v>
      </c>
      <c r="G1625" s="38"/>
      <c r="H1625" s="38" t="s">
        <v>2164</v>
      </c>
      <c r="I1625" s="38" t="s">
        <v>2124</v>
      </c>
      <c r="J1625" s="38"/>
      <c r="K1625" s="38"/>
      <c r="L1625" s="38" t="s">
        <v>2136</v>
      </c>
      <c r="M1625" s="38">
        <v>3</v>
      </c>
      <c r="N1625" s="38" t="s">
        <v>1819</v>
      </c>
      <c r="O1625" s="10"/>
      <c r="P1625" s="25" t="str">
        <f>HYPERLINK("http://biade.itrust.de/biade/lpext.dll?f=id&amp;id=biadb%3Ar%3A001450&amp;t=main-h.htm","1450")</f>
        <v>1450</v>
      </c>
    </row>
    <row r="1626" spans="1:16" ht="15.75" thickBot="1">
      <c r="A1626" s="6" t="s">
        <v>1820</v>
      </c>
      <c r="B1626" s="10"/>
      <c r="C1626" s="11" t="s">
        <v>1821</v>
      </c>
      <c r="D1626" s="10" t="s">
        <v>2152</v>
      </c>
      <c r="E1626" s="38" t="s">
        <v>1822</v>
      </c>
      <c r="F1626" s="38" t="s">
        <v>2154</v>
      </c>
      <c r="G1626" s="38" t="s">
        <v>4017</v>
      </c>
      <c r="H1626" s="38" t="s">
        <v>1232</v>
      </c>
      <c r="I1626" s="38" t="s">
        <v>2124</v>
      </c>
      <c r="J1626" s="38"/>
      <c r="K1626" s="38" t="s">
        <v>2187</v>
      </c>
      <c r="L1626" s="38" t="s">
        <v>2158</v>
      </c>
      <c r="M1626" s="38">
        <v>3</v>
      </c>
      <c r="N1626" s="38"/>
      <c r="O1626" s="10"/>
      <c r="P1626" s="25" t="str">
        <f>HYPERLINK("http://biade.itrust.de/biade/lpext.dll?f=id&amp;id=biadb%3Ar%3A002160&amp;t=main-h.htm","2160")</f>
        <v>2160</v>
      </c>
    </row>
    <row r="1627" spans="1:16" ht="15.75" thickBot="1">
      <c r="A1627" s="6" t="s">
        <v>1823</v>
      </c>
      <c r="B1627" s="10" t="s">
        <v>2121</v>
      </c>
      <c r="C1627" s="11" t="s">
        <v>1824</v>
      </c>
      <c r="D1627" s="10" t="s">
        <v>2134</v>
      </c>
      <c r="E1627" s="38" t="s">
        <v>2135</v>
      </c>
      <c r="F1627" s="38"/>
      <c r="G1627" s="38"/>
      <c r="H1627" s="38" t="s">
        <v>2164</v>
      </c>
      <c r="I1627" s="38" t="s">
        <v>2124</v>
      </c>
      <c r="J1627" s="38"/>
      <c r="K1627" s="38"/>
      <c r="L1627" s="38" t="s">
        <v>2136</v>
      </c>
      <c r="M1627" s="38">
        <v>3</v>
      </c>
      <c r="N1627" s="38" t="s">
        <v>1252</v>
      </c>
      <c r="O1627" s="10"/>
      <c r="P1627" s="11"/>
    </row>
    <row r="1628" spans="1:16" ht="15">
      <c r="A1628" s="5" t="s">
        <v>1825</v>
      </c>
      <c r="B1628" s="49" t="s">
        <v>2121</v>
      </c>
      <c r="C1628" s="51" t="s">
        <v>1826</v>
      </c>
      <c r="D1628" s="49" t="s">
        <v>2141</v>
      </c>
      <c r="E1628" s="47" t="s">
        <v>3312</v>
      </c>
      <c r="F1628" s="47">
        <v>26</v>
      </c>
      <c r="G1628" s="47"/>
      <c r="H1628" s="47" t="s">
        <v>2164</v>
      </c>
      <c r="I1628" s="47" t="s">
        <v>2124</v>
      </c>
      <c r="J1628" s="47"/>
      <c r="K1628" s="47"/>
      <c r="L1628" s="47" t="s">
        <v>2136</v>
      </c>
      <c r="M1628" s="47">
        <v>3</v>
      </c>
      <c r="N1628" s="47" t="s">
        <v>2144</v>
      </c>
      <c r="O1628" s="49"/>
      <c r="P1628" s="51"/>
    </row>
    <row r="1629" spans="1:16" ht="15.75" thickBot="1">
      <c r="A1629" s="6" t="s">
        <v>2176</v>
      </c>
      <c r="B1629" s="50"/>
      <c r="C1629" s="52"/>
      <c r="D1629" s="50"/>
      <c r="E1629" s="48"/>
      <c r="F1629" s="48"/>
      <c r="G1629" s="48"/>
      <c r="H1629" s="48"/>
      <c r="I1629" s="48"/>
      <c r="J1629" s="48"/>
      <c r="K1629" s="48"/>
      <c r="L1629" s="48"/>
      <c r="M1629" s="48"/>
      <c r="N1629" s="48"/>
      <c r="O1629" s="50"/>
      <c r="P1629" s="52"/>
    </row>
    <row r="1630" spans="1:16" ht="15.75" thickBot="1">
      <c r="A1630" s="6" t="s">
        <v>1827</v>
      </c>
      <c r="B1630" s="10"/>
      <c r="C1630" s="11" t="s">
        <v>1828</v>
      </c>
      <c r="D1630" s="10" t="s">
        <v>2187</v>
      </c>
      <c r="E1630" s="38" t="s">
        <v>3516</v>
      </c>
      <c r="F1630" s="38" t="s">
        <v>765</v>
      </c>
      <c r="G1630" s="38"/>
      <c r="H1630" s="38" t="s">
        <v>2123</v>
      </c>
      <c r="I1630" s="38" t="s">
        <v>2124</v>
      </c>
      <c r="J1630" s="38"/>
      <c r="K1630" s="38"/>
      <c r="L1630" s="38" t="s">
        <v>2125</v>
      </c>
      <c r="M1630" s="38">
        <v>2</v>
      </c>
      <c r="N1630" s="38"/>
      <c r="O1630" s="10"/>
      <c r="P1630" s="25" t="str">
        <f>HYPERLINK("http://biade.itrust.de/biade/lpext.dll?f=id&amp;id=biadb%3Ar%3A002090&amp;t=main-h.htm","2090")</f>
        <v>2090</v>
      </c>
    </row>
    <row r="1631" spans="1:16" ht="15">
      <c r="A1631" s="5" t="s">
        <v>1829</v>
      </c>
      <c r="B1631" s="49"/>
      <c r="C1631" s="51" t="s">
        <v>1830</v>
      </c>
      <c r="D1631" s="49" t="s">
        <v>3961</v>
      </c>
      <c r="E1631" s="47" t="s">
        <v>1831</v>
      </c>
      <c r="F1631" s="47" t="s">
        <v>1832</v>
      </c>
      <c r="G1631" s="47"/>
      <c r="H1631" s="47" t="s">
        <v>2164</v>
      </c>
      <c r="I1631" s="47" t="s">
        <v>2124</v>
      </c>
      <c r="J1631" s="47"/>
      <c r="K1631" s="47"/>
      <c r="L1631" s="47" t="s">
        <v>2136</v>
      </c>
      <c r="M1631" s="47">
        <v>3</v>
      </c>
      <c r="N1631" s="47" t="s">
        <v>2144</v>
      </c>
      <c r="O1631" s="49"/>
      <c r="P1631" s="51"/>
    </row>
    <row r="1632" spans="1:16" ht="15.75" thickBot="1">
      <c r="A1632" s="6" t="s">
        <v>1617</v>
      </c>
      <c r="B1632" s="50"/>
      <c r="C1632" s="52"/>
      <c r="D1632" s="50"/>
      <c r="E1632" s="48"/>
      <c r="F1632" s="48"/>
      <c r="G1632" s="48"/>
      <c r="H1632" s="48"/>
      <c r="I1632" s="48"/>
      <c r="J1632" s="48"/>
      <c r="K1632" s="48"/>
      <c r="L1632" s="48"/>
      <c r="M1632" s="48"/>
      <c r="N1632" s="48"/>
      <c r="O1632" s="50"/>
      <c r="P1632" s="52"/>
    </row>
    <row r="1633" spans="1:16" ht="15">
      <c r="A1633" s="5" t="s">
        <v>1829</v>
      </c>
      <c r="B1633" s="49"/>
      <c r="C1633" s="51" t="s">
        <v>1833</v>
      </c>
      <c r="D1633" s="49" t="s">
        <v>3961</v>
      </c>
      <c r="E1633" s="47" t="s">
        <v>1831</v>
      </c>
      <c r="F1633" s="47" t="s">
        <v>1832</v>
      </c>
      <c r="G1633" s="47"/>
      <c r="H1633" s="47" t="s">
        <v>2164</v>
      </c>
      <c r="I1633" s="47" t="s">
        <v>2124</v>
      </c>
      <c r="J1633" s="47"/>
      <c r="K1633" s="47"/>
      <c r="L1633" s="47" t="s">
        <v>2136</v>
      </c>
      <c r="M1633" s="47">
        <v>3</v>
      </c>
      <c r="N1633" s="47" t="s">
        <v>2144</v>
      </c>
      <c r="O1633" s="49"/>
      <c r="P1633" s="51"/>
    </row>
    <row r="1634" spans="1:16" ht="15.75" thickBot="1">
      <c r="A1634" s="6" t="s">
        <v>2176</v>
      </c>
      <c r="B1634" s="50"/>
      <c r="C1634" s="52"/>
      <c r="D1634" s="50"/>
      <c r="E1634" s="48"/>
      <c r="F1634" s="48"/>
      <c r="G1634" s="48"/>
      <c r="H1634" s="48"/>
      <c r="I1634" s="48"/>
      <c r="J1634" s="48"/>
      <c r="K1634" s="48"/>
      <c r="L1634" s="48"/>
      <c r="M1634" s="48"/>
      <c r="N1634" s="48"/>
      <c r="O1634" s="50"/>
      <c r="P1634" s="52"/>
    </row>
    <row r="1635" spans="1:16" ht="15">
      <c r="A1635" s="15" t="s">
        <v>1829</v>
      </c>
      <c r="B1635" s="49"/>
      <c r="C1635" s="51" t="s">
        <v>1835</v>
      </c>
      <c r="D1635" s="49" t="s">
        <v>3961</v>
      </c>
      <c r="E1635" s="47" t="s">
        <v>1831</v>
      </c>
      <c r="F1635" s="47" t="s">
        <v>1832</v>
      </c>
      <c r="G1635" s="47"/>
      <c r="H1635" s="47" t="s">
        <v>2164</v>
      </c>
      <c r="I1635" s="47" t="s">
        <v>2124</v>
      </c>
      <c r="J1635" s="47"/>
      <c r="K1635" s="47"/>
      <c r="L1635" s="47" t="s">
        <v>2136</v>
      </c>
      <c r="M1635" s="47">
        <v>3</v>
      </c>
      <c r="N1635" s="47" t="s">
        <v>2144</v>
      </c>
      <c r="O1635" s="49"/>
      <c r="P1635" s="51"/>
    </row>
    <row r="1636" spans="1:16" ht="15.75" thickBot="1">
      <c r="A1636" s="6" t="s">
        <v>1834</v>
      </c>
      <c r="B1636" s="50"/>
      <c r="C1636" s="52"/>
      <c r="D1636" s="50"/>
      <c r="E1636" s="48"/>
      <c r="F1636" s="48"/>
      <c r="G1636" s="48"/>
      <c r="H1636" s="48"/>
      <c r="I1636" s="48"/>
      <c r="J1636" s="48"/>
      <c r="K1636" s="48"/>
      <c r="L1636" s="48"/>
      <c r="M1636" s="48"/>
      <c r="N1636" s="48"/>
      <c r="O1636" s="50"/>
      <c r="P1636" s="52"/>
    </row>
    <row r="1637" spans="1:16" ht="15.75" thickBot="1">
      <c r="A1637" s="6" t="s">
        <v>1836</v>
      </c>
      <c r="B1637" s="10" t="s">
        <v>2121</v>
      </c>
      <c r="C1637" s="11" t="s">
        <v>1837</v>
      </c>
      <c r="D1637" s="10"/>
      <c r="E1637" s="38"/>
      <c r="F1637" s="38"/>
      <c r="G1637" s="38"/>
      <c r="H1637" s="38" t="s">
        <v>2123</v>
      </c>
      <c r="I1637" s="38" t="s">
        <v>2124</v>
      </c>
      <c r="J1637" s="38"/>
      <c r="K1637" s="38"/>
      <c r="L1637" s="38" t="s">
        <v>2136</v>
      </c>
      <c r="M1637" s="38" t="s">
        <v>2221</v>
      </c>
      <c r="N1637" s="38"/>
      <c r="O1637" s="10"/>
      <c r="P1637" s="25" t="str">
        <f>HYPERLINK("http://biade.itrust.de/biade/lpext.dll?f=id&amp;id=biadb%3Ar%3A003330&amp;t=main-h.htm","3330")</f>
        <v>3330</v>
      </c>
    </row>
    <row r="1638" spans="1:16" ht="15">
      <c r="A1638" s="5" t="s">
        <v>1838</v>
      </c>
      <c r="B1638" s="49" t="s">
        <v>2121</v>
      </c>
      <c r="C1638" s="51" t="s">
        <v>1839</v>
      </c>
      <c r="D1638" s="49"/>
      <c r="E1638" s="47"/>
      <c r="F1638" s="47"/>
      <c r="G1638" s="47"/>
      <c r="H1638" s="47" t="s">
        <v>2123</v>
      </c>
      <c r="I1638" s="47" t="s">
        <v>2124</v>
      </c>
      <c r="J1638" s="47"/>
      <c r="K1638" s="47"/>
      <c r="L1638" s="47" t="s">
        <v>2125</v>
      </c>
      <c r="M1638" s="47" t="s">
        <v>2221</v>
      </c>
      <c r="N1638" s="47"/>
      <c r="O1638" s="49"/>
      <c r="P1638" s="51"/>
    </row>
    <row r="1639" spans="1:16" ht="15.75" thickBot="1">
      <c r="A1639" s="6" t="s">
        <v>2865</v>
      </c>
      <c r="B1639" s="50"/>
      <c r="C1639" s="52"/>
      <c r="D1639" s="50"/>
      <c r="E1639" s="48"/>
      <c r="F1639" s="48"/>
      <c r="G1639" s="48"/>
      <c r="H1639" s="48"/>
      <c r="I1639" s="48"/>
      <c r="J1639" s="48"/>
      <c r="K1639" s="48"/>
      <c r="L1639" s="48"/>
      <c r="M1639" s="48"/>
      <c r="N1639" s="48"/>
      <c r="O1639" s="50"/>
      <c r="P1639" s="52"/>
    </row>
    <row r="1640" spans="1:16" ht="15">
      <c r="A1640" s="5" t="s">
        <v>1840</v>
      </c>
      <c r="B1640" s="49" t="s">
        <v>4090</v>
      </c>
      <c r="C1640" s="51" t="s">
        <v>1841</v>
      </c>
      <c r="D1640" s="49" t="s">
        <v>2128</v>
      </c>
      <c r="E1640" s="47" t="s">
        <v>532</v>
      </c>
      <c r="F1640" s="47" t="s">
        <v>1842</v>
      </c>
      <c r="G1640" s="47" t="s">
        <v>2184</v>
      </c>
      <c r="H1640" s="47" t="s">
        <v>2164</v>
      </c>
      <c r="I1640" s="39" t="s">
        <v>1843</v>
      </c>
      <c r="J1640" s="47"/>
      <c r="K1640" s="47"/>
      <c r="L1640" s="47" t="s">
        <v>2136</v>
      </c>
      <c r="M1640" s="47">
        <v>1</v>
      </c>
      <c r="N1640" s="47"/>
      <c r="O1640" s="49"/>
      <c r="P1640" s="51"/>
    </row>
    <row r="1641" spans="1:16" ht="15.75" thickBot="1">
      <c r="A1641" s="6" t="s">
        <v>2160</v>
      </c>
      <c r="B1641" s="50"/>
      <c r="C1641" s="52"/>
      <c r="D1641" s="50"/>
      <c r="E1641" s="48"/>
      <c r="F1641" s="48"/>
      <c r="G1641" s="48"/>
      <c r="H1641" s="48"/>
      <c r="I1641" s="38" t="s">
        <v>2124</v>
      </c>
      <c r="J1641" s="48"/>
      <c r="K1641" s="48"/>
      <c r="L1641" s="48"/>
      <c r="M1641" s="48"/>
      <c r="N1641" s="48"/>
      <c r="O1641" s="50"/>
      <c r="P1641" s="52"/>
    </row>
    <row r="1642" spans="1:16" ht="15">
      <c r="A1642" s="49" t="s">
        <v>1844</v>
      </c>
      <c r="B1642" s="49" t="s">
        <v>4090</v>
      </c>
      <c r="C1642" s="51" t="s">
        <v>1845</v>
      </c>
      <c r="D1642" s="49" t="s">
        <v>2128</v>
      </c>
      <c r="E1642" s="47" t="s">
        <v>532</v>
      </c>
      <c r="F1642" s="47" t="s">
        <v>1842</v>
      </c>
      <c r="G1642" s="47" t="s">
        <v>2184</v>
      </c>
      <c r="H1642" s="47" t="s">
        <v>2164</v>
      </c>
      <c r="I1642" s="39" t="s">
        <v>1843</v>
      </c>
      <c r="J1642" s="47"/>
      <c r="K1642" s="47"/>
      <c r="L1642" s="47" t="s">
        <v>2136</v>
      </c>
      <c r="M1642" s="47">
        <v>1</v>
      </c>
      <c r="N1642" s="47"/>
      <c r="O1642" s="49"/>
      <c r="P1642" s="51"/>
    </row>
    <row r="1643" spans="1:16" ht="15.75" thickBot="1">
      <c r="A1643" s="50"/>
      <c r="B1643" s="50"/>
      <c r="C1643" s="52"/>
      <c r="D1643" s="50"/>
      <c r="E1643" s="48"/>
      <c r="F1643" s="48"/>
      <c r="G1643" s="48"/>
      <c r="H1643" s="48"/>
      <c r="I1643" s="38" t="s">
        <v>2124</v>
      </c>
      <c r="J1643" s="48"/>
      <c r="K1643" s="48"/>
      <c r="L1643" s="48"/>
      <c r="M1643" s="48"/>
      <c r="N1643" s="48"/>
      <c r="O1643" s="50"/>
      <c r="P1643" s="52"/>
    </row>
    <row r="1644" spans="1:16" ht="15">
      <c r="A1644" s="49" t="s">
        <v>1846</v>
      </c>
      <c r="B1644" s="49" t="s">
        <v>1847</v>
      </c>
      <c r="C1644" s="51" t="s">
        <v>1848</v>
      </c>
      <c r="D1644" s="49" t="s">
        <v>2227</v>
      </c>
      <c r="E1644" s="47" t="s">
        <v>3636</v>
      </c>
      <c r="F1644" s="47" t="s">
        <v>1849</v>
      </c>
      <c r="G1644" s="47"/>
      <c r="H1644" s="47" t="s">
        <v>2164</v>
      </c>
      <c r="I1644" s="39" t="s">
        <v>2844</v>
      </c>
      <c r="J1644" s="47"/>
      <c r="K1644" s="47" t="s">
        <v>2188</v>
      </c>
      <c r="L1644" s="47" t="s">
        <v>2136</v>
      </c>
      <c r="M1644" s="47">
        <v>1</v>
      </c>
      <c r="N1644" s="47" t="s">
        <v>1636</v>
      </c>
      <c r="O1644" s="49"/>
      <c r="P1644" s="51"/>
    </row>
    <row r="1645" spans="1:16" ht="15.75" thickBot="1">
      <c r="A1645" s="50"/>
      <c r="B1645" s="50"/>
      <c r="C1645" s="52"/>
      <c r="D1645" s="50"/>
      <c r="E1645" s="48"/>
      <c r="F1645" s="48"/>
      <c r="G1645" s="48"/>
      <c r="H1645" s="48"/>
      <c r="I1645" s="38" t="s">
        <v>2124</v>
      </c>
      <c r="J1645" s="48"/>
      <c r="K1645" s="48"/>
      <c r="L1645" s="48"/>
      <c r="M1645" s="48"/>
      <c r="N1645" s="48"/>
      <c r="O1645" s="50"/>
      <c r="P1645" s="52"/>
    </row>
    <row r="1646" spans="1:16" ht="15">
      <c r="A1646" s="49" t="s">
        <v>1850</v>
      </c>
      <c r="B1646" s="49" t="s">
        <v>2121</v>
      </c>
      <c r="C1646" s="51" t="s">
        <v>1851</v>
      </c>
      <c r="D1646" s="49"/>
      <c r="E1646" s="47"/>
      <c r="F1646" s="47"/>
      <c r="G1646" s="47"/>
      <c r="H1646" s="47" t="s">
        <v>2123</v>
      </c>
      <c r="I1646" s="39" t="s">
        <v>2844</v>
      </c>
      <c r="J1646" s="47"/>
      <c r="K1646" s="47"/>
      <c r="L1646" s="47" t="s">
        <v>2125</v>
      </c>
      <c r="M1646" s="47" t="s">
        <v>2221</v>
      </c>
      <c r="N1646" s="47"/>
      <c r="O1646" s="49"/>
      <c r="P1646" s="51"/>
    </row>
    <row r="1647" spans="1:16" ht="15.75" thickBot="1">
      <c r="A1647" s="50"/>
      <c r="B1647" s="50"/>
      <c r="C1647" s="52"/>
      <c r="D1647" s="50"/>
      <c r="E1647" s="48"/>
      <c r="F1647" s="48"/>
      <c r="G1647" s="48"/>
      <c r="H1647" s="48"/>
      <c r="I1647" s="38" t="s">
        <v>2124</v>
      </c>
      <c r="J1647" s="48"/>
      <c r="K1647" s="48"/>
      <c r="L1647" s="48"/>
      <c r="M1647" s="48"/>
      <c r="N1647" s="48"/>
      <c r="O1647" s="50"/>
      <c r="P1647" s="52"/>
    </row>
    <row r="1648" spans="1:16" ht="15">
      <c r="A1648" s="5" t="s">
        <v>1852</v>
      </c>
      <c r="B1648" s="49" t="s">
        <v>1804</v>
      </c>
      <c r="C1648" s="51" t="s">
        <v>1853</v>
      </c>
      <c r="D1648" s="49" t="s">
        <v>3859</v>
      </c>
      <c r="E1648" s="47" t="s">
        <v>3075</v>
      </c>
      <c r="F1648" s="47" t="s">
        <v>3861</v>
      </c>
      <c r="G1648" s="47" t="s">
        <v>2184</v>
      </c>
      <c r="H1648" s="47" t="s">
        <v>2129</v>
      </c>
      <c r="I1648" s="39" t="s">
        <v>3991</v>
      </c>
      <c r="J1648" s="47">
        <v>1</v>
      </c>
      <c r="K1648" s="47"/>
      <c r="L1648" s="47" t="s">
        <v>2136</v>
      </c>
      <c r="M1648" s="47" t="s">
        <v>2221</v>
      </c>
      <c r="N1648" s="47"/>
      <c r="O1648" s="49"/>
      <c r="P1648" s="51"/>
    </row>
    <row r="1649" spans="1:16" ht="15.75" thickBot="1">
      <c r="A1649" s="6" t="s">
        <v>2865</v>
      </c>
      <c r="B1649" s="50"/>
      <c r="C1649" s="52"/>
      <c r="D1649" s="50"/>
      <c r="E1649" s="48"/>
      <c r="F1649" s="48"/>
      <c r="G1649" s="48"/>
      <c r="H1649" s="48"/>
      <c r="I1649" s="38" t="s">
        <v>2124</v>
      </c>
      <c r="J1649" s="48"/>
      <c r="K1649" s="48"/>
      <c r="L1649" s="48"/>
      <c r="M1649" s="48"/>
      <c r="N1649" s="48"/>
      <c r="O1649" s="50"/>
      <c r="P1649" s="52"/>
    </row>
    <row r="1650" spans="1:16" ht="15">
      <c r="A1650" s="5" t="s">
        <v>1854</v>
      </c>
      <c r="B1650" s="7" t="s">
        <v>1855</v>
      </c>
      <c r="C1650" s="51" t="s">
        <v>1856</v>
      </c>
      <c r="D1650" s="49" t="s">
        <v>2227</v>
      </c>
      <c r="E1650" s="47">
        <v>34</v>
      </c>
      <c r="F1650" s="47" t="s">
        <v>3884</v>
      </c>
      <c r="G1650" s="47" t="s">
        <v>2184</v>
      </c>
      <c r="H1650" s="47" t="s">
        <v>2164</v>
      </c>
      <c r="I1650" s="39" t="s">
        <v>3991</v>
      </c>
      <c r="J1650" s="47">
        <v>1</v>
      </c>
      <c r="K1650" s="47"/>
      <c r="L1650" s="47" t="s">
        <v>2136</v>
      </c>
      <c r="M1650" s="47">
        <v>1</v>
      </c>
      <c r="N1650" s="47"/>
      <c r="O1650" s="49"/>
      <c r="P1650" s="51"/>
    </row>
    <row r="1651" spans="1:16" ht="15.75" thickBot="1">
      <c r="A1651" s="6" t="s">
        <v>1606</v>
      </c>
      <c r="B1651" s="10" t="s">
        <v>1262</v>
      </c>
      <c r="C1651" s="52"/>
      <c r="D1651" s="50"/>
      <c r="E1651" s="48"/>
      <c r="F1651" s="48"/>
      <c r="G1651" s="48"/>
      <c r="H1651" s="48"/>
      <c r="I1651" s="38" t="s">
        <v>2124</v>
      </c>
      <c r="J1651" s="48"/>
      <c r="K1651" s="48"/>
      <c r="L1651" s="48"/>
      <c r="M1651" s="48"/>
      <c r="N1651" s="48"/>
      <c r="O1651" s="50"/>
      <c r="P1651" s="52"/>
    </row>
  </sheetData>
  <sheetProtection/>
  <mergeCells count="6843">
    <mergeCell ref="P1650:P1651"/>
    <mergeCell ref="P1:P3"/>
    <mergeCell ref="P6:P7"/>
    <mergeCell ref="P10:P11"/>
    <mergeCell ref="P12:P14"/>
    <mergeCell ref="P16:P17"/>
    <mergeCell ref="P19:P21"/>
    <mergeCell ref="P25:P26"/>
    <mergeCell ref="P1640:P1641"/>
    <mergeCell ref="P1646:P1647"/>
    <mergeCell ref="P1631:P1632"/>
    <mergeCell ref="P1633:P1634"/>
    <mergeCell ref="P1635:P1636"/>
    <mergeCell ref="P1638:P1639"/>
    <mergeCell ref="P1648:P1649"/>
    <mergeCell ref="P1619:P1620"/>
    <mergeCell ref="P1621:P1622"/>
    <mergeCell ref="P1623:P1624"/>
    <mergeCell ref="P1628:P1629"/>
    <mergeCell ref="P1642:P1643"/>
    <mergeCell ref="P1644:P1645"/>
    <mergeCell ref="P1601:P1602"/>
    <mergeCell ref="P1603:P1604"/>
    <mergeCell ref="P1605:P1606"/>
    <mergeCell ref="P1607:P1608"/>
    <mergeCell ref="P1615:P1616"/>
    <mergeCell ref="P1617:P1618"/>
    <mergeCell ref="P1571:P1572"/>
    <mergeCell ref="P1574:P1575"/>
    <mergeCell ref="P1578:P1579"/>
    <mergeCell ref="P1581:P1582"/>
    <mergeCell ref="P1583:P1584"/>
    <mergeCell ref="P1594:P1595"/>
    <mergeCell ref="P1554:P1555"/>
    <mergeCell ref="P1556:P1557"/>
    <mergeCell ref="P1558:P1559"/>
    <mergeCell ref="P1562:P1563"/>
    <mergeCell ref="P1566:P1567"/>
    <mergeCell ref="P1569:P1570"/>
    <mergeCell ref="P1537:P1538"/>
    <mergeCell ref="P1544:P1545"/>
    <mergeCell ref="P1546:P1547"/>
    <mergeCell ref="P1548:P1549"/>
    <mergeCell ref="P1550:P1551"/>
    <mergeCell ref="P1552:P1553"/>
    <mergeCell ref="P1513:P1514"/>
    <mergeCell ref="P1515:P1516"/>
    <mergeCell ref="P1527:P1528"/>
    <mergeCell ref="P1530:P1531"/>
    <mergeCell ref="P1533:P1534"/>
    <mergeCell ref="P1535:P1536"/>
    <mergeCell ref="P1481:P1482"/>
    <mergeCell ref="P1495:P1496"/>
    <mergeCell ref="P1500:P1501"/>
    <mergeCell ref="P1503:P1504"/>
    <mergeCell ref="P1508:P1509"/>
    <mergeCell ref="P1511:P1512"/>
    <mergeCell ref="P1466:P1467"/>
    <mergeCell ref="P1468:P1469"/>
    <mergeCell ref="P1471:P1472"/>
    <mergeCell ref="P1473:P1474"/>
    <mergeCell ref="P1475:P1476"/>
    <mergeCell ref="P1477:P1478"/>
    <mergeCell ref="P1447:P1448"/>
    <mergeCell ref="P1452:P1453"/>
    <mergeCell ref="P1455:P1456"/>
    <mergeCell ref="P1459:P1460"/>
    <mergeCell ref="P1461:P1462"/>
    <mergeCell ref="P1464:P1465"/>
    <mergeCell ref="P1432:P1433"/>
    <mergeCell ref="P1437:P1438"/>
    <mergeCell ref="P1439:P1440"/>
    <mergeCell ref="P1441:P1442"/>
    <mergeCell ref="P1443:P1444"/>
    <mergeCell ref="P1445:P1446"/>
    <mergeCell ref="P1420:P1421"/>
    <mergeCell ref="P1422:P1423"/>
    <mergeCell ref="P1424:P1425"/>
    <mergeCell ref="P1426:P1427"/>
    <mergeCell ref="P1428:P1429"/>
    <mergeCell ref="P1430:P1431"/>
    <mergeCell ref="P1408:P1409"/>
    <mergeCell ref="P1410:P1411"/>
    <mergeCell ref="P1412:P1413"/>
    <mergeCell ref="P1414:P1415"/>
    <mergeCell ref="P1416:P1417"/>
    <mergeCell ref="P1418:P1419"/>
    <mergeCell ref="P1390:P1391"/>
    <mergeCell ref="P1394:P1395"/>
    <mergeCell ref="P1397:P1398"/>
    <mergeCell ref="P1399:P1400"/>
    <mergeCell ref="P1402:P1403"/>
    <mergeCell ref="P1404:P1405"/>
    <mergeCell ref="P1370:P1371"/>
    <mergeCell ref="P1372:P1373"/>
    <mergeCell ref="P1374:P1375"/>
    <mergeCell ref="P1377:P1378"/>
    <mergeCell ref="P1379:P1380"/>
    <mergeCell ref="P1382:P1383"/>
    <mergeCell ref="P1356:P1357"/>
    <mergeCell ref="P1358:P1359"/>
    <mergeCell ref="P1360:P1361"/>
    <mergeCell ref="P1363:P1364"/>
    <mergeCell ref="P1366:P1367"/>
    <mergeCell ref="P1368:P1369"/>
    <mergeCell ref="P1335:P1337"/>
    <mergeCell ref="P1338:P1339"/>
    <mergeCell ref="P1341:P1342"/>
    <mergeCell ref="P1343:P1344"/>
    <mergeCell ref="P1350:P1351"/>
    <mergeCell ref="P1352:P1353"/>
    <mergeCell ref="P1312:P1313"/>
    <mergeCell ref="P1314:P1315"/>
    <mergeCell ref="P1317:P1318"/>
    <mergeCell ref="P1323:P1324"/>
    <mergeCell ref="P1325:P1326"/>
    <mergeCell ref="P1328:P1329"/>
    <mergeCell ref="P1287:P1288"/>
    <mergeCell ref="P1289:P1290"/>
    <mergeCell ref="P1295:P1296"/>
    <mergeCell ref="P1301:P1302"/>
    <mergeCell ref="P1305:P1306"/>
    <mergeCell ref="P1309:P1310"/>
    <mergeCell ref="P1261:P1262"/>
    <mergeCell ref="P1266:P1267"/>
    <mergeCell ref="P1277:P1278"/>
    <mergeCell ref="P1280:P1281"/>
    <mergeCell ref="P1283:P1284"/>
    <mergeCell ref="P1285:P1286"/>
    <mergeCell ref="P1232:P1233"/>
    <mergeCell ref="P1245:P1246"/>
    <mergeCell ref="P1247:P1248"/>
    <mergeCell ref="P1249:P1250"/>
    <mergeCell ref="P1256:P1257"/>
    <mergeCell ref="P1259:P1260"/>
    <mergeCell ref="P1212:P1213"/>
    <mergeCell ref="P1218:P1219"/>
    <mergeCell ref="P1220:P1221"/>
    <mergeCell ref="P1222:P1223"/>
    <mergeCell ref="P1224:P1226"/>
    <mergeCell ref="P1229:P1230"/>
    <mergeCell ref="P1192:P1193"/>
    <mergeCell ref="P1194:P1195"/>
    <mergeCell ref="P1201:P1202"/>
    <mergeCell ref="P1204:P1205"/>
    <mergeCell ref="P1207:P1208"/>
    <mergeCell ref="P1209:P1210"/>
    <mergeCell ref="P1172:P1173"/>
    <mergeCell ref="P1174:P1176"/>
    <mergeCell ref="P1177:P1178"/>
    <mergeCell ref="P1184:P1185"/>
    <mergeCell ref="P1188:P1189"/>
    <mergeCell ref="P1190:P1191"/>
    <mergeCell ref="P1145:P1146"/>
    <mergeCell ref="P1147:P1148"/>
    <mergeCell ref="P1156:P1157"/>
    <mergeCell ref="P1161:P1162"/>
    <mergeCell ref="P1165:P1166"/>
    <mergeCell ref="P1170:P1171"/>
    <mergeCell ref="P1127:P1128"/>
    <mergeCell ref="P1129:P1130"/>
    <mergeCell ref="P1134:P1135"/>
    <mergeCell ref="P1136:P1137"/>
    <mergeCell ref="P1138:P1139"/>
    <mergeCell ref="P1140:P1141"/>
    <mergeCell ref="P1100:P1101"/>
    <mergeCell ref="P1108:P1109"/>
    <mergeCell ref="P1114:P1115"/>
    <mergeCell ref="P1118:P1119"/>
    <mergeCell ref="P1120:P1121"/>
    <mergeCell ref="P1122:P1123"/>
    <mergeCell ref="P1082:P1083"/>
    <mergeCell ref="P1086:P1087"/>
    <mergeCell ref="P1088:P1089"/>
    <mergeCell ref="P1090:P1092"/>
    <mergeCell ref="P1093:P1094"/>
    <mergeCell ref="P1097:P1098"/>
    <mergeCell ref="P1069:P1070"/>
    <mergeCell ref="P1071:P1072"/>
    <mergeCell ref="P1073:P1074"/>
    <mergeCell ref="P1075:P1076"/>
    <mergeCell ref="P1077:P1078"/>
    <mergeCell ref="P1079:P1080"/>
    <mergeCell ref="P1050:P1051"/>
    <mergeCell ref="P1052:P1053"/>
    <mergeCell ref="P1058:P1059"/>
    <mergeCell ref="P1062:P1063"/>
    <mergeCell ref="P1064:P1065"/>
    <mergeCell ref="P1067:P1068"/>
    <mergeCell ref="P1031:P1032"/>
    <mergeCell ref="P1033:P1034"/>
    <mergeCell ref="P1035:P1036"/>
    <mergeCell ref="P1037:P1038"/>
    <mergeCell ref="P1040:P1041"/>
    <mergeCell ref="P1044:P1045"/>
    <mergeCell ref="P1017:P1018"/>
    <mergeCell ref="P1019:P1020"/>
    <mergeCell ref="P1023:P1024"/>
    <mergeCell ref="P1025:P1026"/>
    <mergeCell ref="P1027:P1028"/>
    <mergeCell ref="P1029:P1030"/>
    <mergeCell ref="P989:P990"/>
    <mergeCell ref="P991:P992"/>
    <mergeCell ref="P993:P994"/>
    <mergeCell ref="P996:P997"/>
    <mergeCell ref="P1006:P1007"/>
    <mergeCell ref="P1009:P1010"/>
    <mergeCell ref="P969:P970"/>
    <mergeCell ref="P971:P972"/>
    <mergeCell ref="P977:P978"/>
    <mergeCell ref="P980:P981"/>
    <mergeCell ref="P985:P986"/>
    <mergeCell ref="P987:P988"/>
    <mergeCell ref="P941:P942"/>
    <mergeCell ref="P943:P944"/>
    <mergeCell ref="P945:P946"/>
    <mergeCell ref="P959:P960"/>
    <mergeCell ref="P962:P963"/>
    <mergeCell ref="P966:P967"/>
    <mergeCell ref="P914:P915"/>
    <mergeCell ref="P917:P918"/>
    <mergeCell ref="P927:P928"/>
    <mergeCell ref="P930:P931"/>
    <mergeCell ref="P933:P934"/>
    <mergeCell ref="P938:P939"/>
    <mergeCell ref="P887:P888"/>
    <mergeCell ref="P893:P894"/>
    <mergeCell ref="P897:P898"/>
    <mergeCell ref="P899:P900"/>
    <mergeCell ref="P903:P904"/>
    <mergeCell ref="P910:P911"/>
    <mergeCell ref="P846:P847"/>
    <mergeCell ref="P868:P869"/>
    <mergeCell ref="P870:P871"/>
    <mergeCell ref="P872:P873"/>
    <mergeCell ref="P878:P879"/>
    <mergeCell ref="P883:P884"/>
    <mergeCell ref="P825:P826"/>
    <mergeCell ref="P827:P828"/>
    <mergeCell ref="P832:P833"/>
    <mergeCell ref="P836:P837"/>
    <mergeCell ref="P838:P839"/>
    <mergeCell ref="P843:P844"/>
    <mergeCell ref="P803:P804"/>
    <mergeCell ref="P810:P811"/>
    <mergeCell ref="P816:P817"/>
    <mergeCell ref="P818:P819"/>
    <mergeCell ref="P820:P821"/>
    <mergeCell ref="P822:P823"/>
    <mergeCell ref="P783:P784"/>
    <mergeCell ref="P788:P789"/>
    <mergeCell ref="P791:P793"/>
    <mergeCell ref="P796:P797"/>
    <mergeCell ref="P798:P799"/>
    <mergeCell ref="P801:P802"/>
    <mergeCell ref="P763:P764"/>
    <mergeCell ref="P769:P770"/>
    <mergeCell ref="P772:P773"/>
    <mergeCell ref="P775:P776"/>
    <mergeCell ref="P779:P780"/>
    <mergeCell ref="P781:P782"/>
    <mergeCell ref="P742:P743"/>
    <mergeCell ref="P744:P745"/>
    <mergeCell ref="P746:P747"/>
    <mergeCell ref="P751:P752"/>
    <mergeCell ref="P756:P757"/>
    <mergeCell ref="P758:P759"/>
    <mergeCell ref="P717:P718"/>
    <mergeCell ref="P722:P723"/>
    <mergeCell ref="P727:P728"/>
    <mergeCell ref="P730:P731"/>
    <mergeCell ref="P735:P736"/>
    <mergeCell ref="P739:P741"/>
    <mergeCell ref="P697:P698"/>
    <mergeCell ref="P703:P704"/>
    <mergeCell ref="P708:P709"/>
    <mergeCell ref="P710:P711"/>
    <mergeCell ref="P713:P714"/>
    <mergeCell ref="P715:P716"/>
    <mergeCell ref="P672:P673"/>
    <mergeCell ref="P674:P675"/>
    <mergeCell ref="P679:P680"/>
    <mergeCell ref="P681:P682"/>
    <mergeCell ref="P685:P686"/>
    <mergeCell ref="P695:P696"/>
    <mergeCell ref="P640:P641"/>
    <mergeCell ref="P642:P643"/>
    <mergeCell ref="P646:P647"/>
    <mergeCell ref="P663:P664"/>
    <mergeCell ref="P666:P667"/>
    <mergeCell ref="P669:P670"/>
    <mergeCell ref="P624:P625"/>
    <mergeCell ref="P626:P627"/>
    <mergeCell ref="P628:P629"/>
    <mergeCell ref="P632:P633"/>
    <mergeCell ref="P635:P636"/>
    <mergeCell ref="P638:P639"/>
    <mergeCell ref="P607:P608"/>
    <mergeCell ref="P609:P610"/>
    <mergeCell ref="P614:P615"/>
    <mergeCell ref="P617:P618"/>
    <mergeCell ref="P619:P620"/>
    <mergeCell ref="P621:P622"/>
    <mergeCell ref="P589:P591"/>
    <mergeCell ref="P592:P593"/>
    <mergeCell ref="P595:P597"/>
    <mergeCell ref="P601:P602"/>
    <mergeCell ref="P603:P604"/>
    <mergeCell ref="P605:P606"/>
    <mergeCell ref="P573:P574"/>
    <mergeCell ref="P575:P576"/>
    <mergeCell ref="P578:P579"/>
    <mergeCell ref="P581:P582"/>
    <mergeCell ref="P585:P586"/>
    <mergeCell ref="P587:P588"/>
    <mergeCell ref="P539:P540"/>
    <mergeCell ref="P542:P543"/>
    <mergeCell ref="P544:P545"/>
    <mergeCell ref="P548:P549"/>
    <mergeCell ref="P558:P559"/>
    <mergeCell ref="P571:P572"/>
    <mergeCell ref="P517:P518"/>
    <mergeCell ref="P524:P525"/>
    <mergeCell ref="P526:P527"/>
    <mergeCell ref="P528:P529"/>
    <mergeCell ref="P531:P532"/>
    <mergeCell ref="P534:P535"/>
    <mergeCell ref="P500:P501"/>
    <mergeCell ref="P503:P504"/>
    <mergeCell ref="P506:P507"/>
    <mergeCell ref="P508:P509"/>
    <mergeCell ref="P512:P513"/>
    <mergeCell ref="P515:P516"/>
    <mergeCell ref="P486:P487"/>
    <mergeCell ref="P488:P489"/>
    <mergeCell ref="P490:P491"/>
    <mergeCell ref="P493:P494"/>
    <mergeCell ref="P495:P496"/>
    <mergeCell ref="P497:P498"/>
    <mergeCell ref="P467:P469"/>
    <mergeCell ref="P471:P472"/>
    <mergeCell ref="P473:P474"/>
    <mergeCell ref="P479:P480"/>
    <mergeCell ref="P481:P482"/>
    <mergeCell ref="P484:P485"/>
    <mergeCell ref="P446:P447"/>
    <mergeCell ref="P451:P452"/>
    <mergeCell ref="P454:P455"/>
    <mergeCell ref="P457:P458"/>
    <mergeCell ref="P461:P462"/>
    <mergeCell ref="P465:P466"/>
    <mergeCell ref="P381:P382"/>
    <mergeCell ref="P419:P420"/>
    <mergeCell ref="P421:P423"/>
    <mergeCell ref="P425:P426"/>
    <mergeCell ref="P442:P443"/>
    <mergeCell ref="P444:P445"/>
    <mergeCell ref="P361:P362"/>
    <mergeCell ref="P363:P364"/>
    <mergeCell ref="P367:P368"/>
    <mergeCell ref="P369:P370"/>
    <mergeCell ref="P376:P377"/>
    <mergeCell ref="P379:P380"/>
    <mergeCell ref="P345:P346"/>
    <mergeCell ref="P350:P351"/>
    <mergeCell ref="P352:P353"/>
    <mergeCell ref="P354:P355"/>
    <mergeCell ref="P356:P357"/>
    <mergeCell ref="P359:P360"/>
    <mergeCell ref="P318:P319"/>
    <mergeCell ref="P325:P326"/>
    <mergeCell ref="P327:P328"/>
    <mergeCell ref="P331:P332"/>
    <mergeCell ref="P336:P337"/>
    <mergeCell ref="P343:P344"/>
    <mergeCell ref="P300:P301"/>
    <mergeCell ref="P304:P305"/>
    <mergeCell ref="P306:P307"/>
    <mergeCell ref="P308:P309"/>
    <mergeCell ref="P313:P314"/>
    <mergeCell ref="P315:P316"/>
    <mergeCell ref="P280:P281"/>
    <mergeCell ref="P285:P287"/>
    <mergeCell ref="P289:P290"/>
    <mergeCell ref="P293:P294"/>
    <mergeCell ref="P296:P297"/>
    <mergeCell ref="P298:P299"/>
    <mergeCell ref="P266:P267"/>
    <mergeCell ref="P268:P269"/>
    <mergeCell ref="P270:P271"/>
    <mergeCell ref="P272:P273"/>
    <mergeCell ref="P274:P275"/>
    <mergeCell ref="P276:P277"/>
    <mergeCell ref="P254:P255"/>
    <mergeCell ref="P256:P257"/>
    <mergeCell ref="P258:P259"/>
    <mergeCell ref="P260:P261"/>
    <mergeCell ref="P262:P263"/>
    <mergeCell ref="P264:P265"/>
    <mergeCell ref="P237:P238"/>
    <mergeCell ref="P242:P243"/>
    <mergeCell ref="P244:P246"/>
    <mergeCell ref="P247:P249"/>
    <mergeCell ref="P250:P251"/>
    <mergeCell ref="P252:P253"/>
    <mergeCell ref="P203:P204"/>
    <mergeCell ref="P205:P206"/>
    <mergeCell ref="P207:P208"/>
    <mergeCell ref="P209:P210"/>
    <mergeCell ref="P215:P216"/>
    <mergeCell ref="P221:P222"/>
    <mergeCell ref="P184:P185"/>
    <mergeCell ref="P188:P189"/>
    <mergeCell ref="P190:P191"/>
    <mergeCell ref="P192:P193"/>
    <mergeCell ref="P194:P195"/>
    <mergeCell ref="P198:P199"/>
    <mergeCell ref="P149:P150"/>
    <mergeCell ref="P163:P164"/>
    <mergeCell ref="P165:P166"/>
    <mergeCell ref="P175:P176"/>
    <mergeCell ref="P180:P181"/>
    <mergeCell ref="P182:P183"/>
    <mergeCell ref="P116:P117"/>
    <mergeCell ref="P120:P121"/>
    <mergeCell ref="P123:P124"/>
    <mergeCell ref="P131:P132"/>
    <mergeCell ref="P139:P140"/>
    <mergeCell ref="P145:P146"/>
    <mergeCell ref="P91:P92"/>
    <mergeCell ref="P95:P96"/>
    <mergeCell ref="P104:P105"/>
    <mergeCell ref="P109:P110"/>
    <mergeCell ref="P111:P112"/>
    <mergeCell ref="P113:P114"/>
    <mergeCell ref="P62:P63"/>
    <mergeCell ref="P68:P70"/>
    <mergeCell ref="P72:P73"/>
    <mergeCell ref="P81:P82"/>
    <mergeCell ref="P83:P84"/>
    <mergeCell ref="P89:P90"/>
    <mergeCell ref="P36:P37"/>
    <mergeCell ref="P45:P46"/>
    <mergeCell ref="P49:P50"/>
    <mergeCell ref="P52:P53"/>
    <mergeCell ref="P55:P56"/>
    <mergeCell ref="P58:P59"/>
    <mergeCell ref="A1:A3"/>
    <mergeCell ref="C1:C3"/>
    <mergeCell ref="D1:D3"/>
    <mergeCell ref="E1:E3"/>
    <mergeCell ref="P29:P30"/>
    <mergeCell ref="P34:P35"/>
    <mergeCell ref="O1:O3"/>
    <mergeCell ref="A6:A7"/>
    <mergeCell ref="C6:C7"/>
    <mergeCell ref="D6:D7"/>
    <mergeCell ref="E6:E7"/>
    <mergeCell ref="F6:F7"/>
    <mergeCell ref="G6:G7"/>
    <mergeCell ref="H6:H7"/>
    <mergeCell ref="F1:F3"/>
    <mergeCell ref="H1:H3"/>
    <mergeCell ref="I6:I7"/>
    <mergeCell ref="J6:J7"/>
    <mergeCell ref="K6:K7"/>
    <mergeCell ref="L6:L7"/>
    <mergeCell ref="L1:L3"/>
    <mergeCell ref="M1:M3"/>
    <mergeCell ref="J1:J3"/>
    <mergeCell ref="K1:K3"/>
    <mergeCell ref="G12:G14"/>
    <mergeCell ref="H12:H14"/>
    <mergeCell ref="A10:A11"/>
    <mergeCell ref="B10:B11"/>
    <mergeCell ref="C10:C11"/>
    <mergeCell ref="D10:D11"/>
    <mergeCell ref="E10:E11"/>
    <mergeCell ref="F10:F11"/>
    <mergeCell ref="G10:G11"/>
    <mergeCell ref="J12:J14"/>
    <mergeCell ref="L12:L14"/>
    <mergeCell ref="M12:M14"/>
    <mergeCell ref="N12:N14"/>
    <mergeCell ref="A12:A14"/>
    <mergeCell ref="B12:B14"/>
    <mergeCell ref="C12:C14"/>
    <mergeCell ref="D12:D14"/>
    <mergeCell ref="E12:E14"/>
    <mergeCell ref="F12:F14"/>
    <mergeCell ref="M16:M17"/>
    <mergeCell ref="N16:N17"/>
    <mergeCell ref="O12:O14"/>
    <mergeCell ref="A16:A17"/>
    <mergeCell ref="B16:B17"/>
    <mergeCell ref="C16:C17"/>
    <mergeCell ref="D16:D17"/>
    <mergeCell ref="E16:E17"/>
    <mergeCell ref="F16:F17"/>
    <mergeCell ref="G16:G17"/>
    <mergeCell ref="F19:F21"/>
    <mergeCell ref="G19:G21"/>
    <mergeCell ref="H19:H21"/>
    <mergeCell ref="I19:I21"/>
    <mergeCell ref="J16:J17"/>
    <mergeCell ref="L16:L17"/>
    <mergeCell ref="H16:H17"/>
    <mergeCell ref="I16:I17"/>
    <mergeCell ref="J19:J21"/>
    <mergeCell ref="L19:L21"/>
    <mergeCell ref="M19:M21"/>
    <mergeCell ref="N19:N21"/>
    <mergeCell ref="O16:O17"/>
    <mergeCell ref="A19:A21"/>
    <mergeCell ref="B19:B21"/>
    <mergeCell ref="C19:C21"/>
    <mergeCell ref="D19:D21"/>
    <mergeCell ref="E19:E21"/>
    <mergeCell ref="N25:N26"/>
    <mergeCell ref="O25:O26"/>
    <mergeCell ref="O19:O21"/>
    <mergeCell ref="A25:A26"/>
    <mergeCell ref="B25:B26"/>
    <mergeCell ref="C25:C26"/>
    <mergeCell ref="D25:D26"/>
    <mergeCell ref="E25:E26"/>
    <mergeCell ref="F25:F26"/>
    <mergeCell ref="G25:G26"/>
    <mergeCell ref="A29:A30"/>
    <mergeCell ref="B29:B30"/>
    <mergeCell ref="C29:C30"/>
    <mergeCell ref="D29:D30"/>
    <mergeCell ref="L25:L26"/>
    <mergeCell ref="M25:M26"/>
    <mergeCell ref="H25:H26"/>
    <mergeCell ref="J25:J26"/>
    <mergeCell ref="H34:H35"/>
    <mergeCell ref="I34:I35"/>
    <mergeCell ref="H29:H30"/>
    <mergeCell ref="J29:J30"/>
    <mergeCell ref="L29:L30"/>
    <mergeCell ref="M29:M30"/>
    <mergeCell ref="A34:A35"/>
    <mergeCell ref="C34:C35"/>
    <mergeCell ref="D34:D35"/>
    <mergeCell ref="E34:E35"/>
    <mergeCell ref="F34:F35"/>
    <mergeCell ref="G34:G35"/>
    <mergeCell ref="J34:J35"/>
    <mergeCell ref="K34:K35"/>
    <mergeCell ref="L34:L35"/>
    <mergeCell ref="M34:M35"/>
    <mergeCell ref="N29:N30"/>
    <mergeCell ref="O29:O30"/>
    <mergeCell ref="N34:N35"/>
    <mergeCell ref="O34:O35"/>
    <mergeCell ref="A36:A37"/>
    <mergeCell ref="C36:C37"/>
    <mergeCell ref="D36:D37"/>
    <mergeCell ref="E36:E37"/>
    <mergeCell ref="F36:F37"/>
    <mergeCell ref="G36:G37"/>
    <mergeCell ref="H36:H37"/>
    <mergeCell ref="I36:I37"/>
    <mergeCell ref="O36:O37"/>
    <mergeCell ref="N62:N63"/>
    <mergeCell ref="O62:O63"/>
    <mergeCell ref="N72:N73"/>
    <mergeCell ref="O72:O73"/>
    <mergeCell ref="O45:O46"/>
    <mergeCell ref="O55:O56"/>
    <mergeCell ref="N58:N59"/>
    <mergeCell ref="O58:O59"/>
    <mergeCell ref="O49:O50"/>
    <mergeCell ref="M45:M46"/>
    <mergeCell ref="N45:N46"/>
    <mergeCell ref="A45:A46"/>
    <mergeCell ref="C45:C46"/>
    <mergeCell ref="D45:D46"/>
    <mergeCell ref="N36:N37"/>
    <mergeCell ref="J36:J37"/>
    <mergeCell ref="K36:K37"/>
    <mergeCell ref="L36:L37"/>
    <mergeCell ref="M36:M37"/>
    <mergeCell ref="A49:A50"/>
    <mergeCell ref="B49:B50"/>
    <mergeCell ref="C49:C50"/>
    <mergeCell ref="D49:D50"/>
    <mergeCell ref="K45:K46"/>
    <mergeCell ref="L45:L46"/>
    <mergeCell ref="I45:I46"/>
    <mergeCell ref="J45:J46"/>
    <mergeCell ref="E49:E50"/>
    <mergeCell ref="F49:F50"/>
    <mergeCell ref="G49:G50"/>
    <mergeCell ref="N55:N56"/>
    <mergeCell ref="N49:N50"/>
    <mergeCell ref="N52:N53"/>
    <mergeCell ref="M49:M50"/>
    <mergeCell ref="H49:H50"/>
    <mergeCell ref="J49:J50"/>
    <mergeCell ref="K49:K50"/>
    <mergeCell ref="K52:K53"/>
    <mergeCell ref="L52:L53"/>
    <mergeCell ref="O52:O53"/>
    <mergeCell ref="B52:B53"/>
    <mergeCell ref="C52:C53"/>
    <mergeCell ref="D52:D53"/>
    <mergeCell ref="M52:M53"/>
    <mergeCell ref="E52:E53"/>
    <mergeCell ref="B55:B56"/>
    <mergeCell ref="C55:C56"/>
    <mergeCell ref="D55:D56"/>
    <mergeCell ref="E55:E56"/>
    <mergeCell ref="L49:L50"/>
    <mergeCell ref="F52:F53"/>
    <mergeCell ref="G52:G53"/>
    <mergeCell ref="H52:H53"/>
    <mergeCell ref="I52:I53"/>
    <mergeCell ref="J52:J53"/>
    <mergeCell ref="J55:J56"/>
    <mergeCell ref="K55:K56"/>
    <mergeCell ref="L55:L56"/>
    <mergeCell ref="M55:M56"/>
    <mergeCell ref="F55:F56"/>
    <mergeCell ref="G55:G56"/>
    <mergeCell ref="H55:H56"/>
    <mergeCell ref="I55:I56"/>
    <mergeCell ref="L58:L59"/>
    <mergeCell ref="M58:M59"/>
    <mergeCell ref="E58:E59"/>
    <mergeCell ref="F58:F59"/>
    <mergeCell ref="G58:G59"/>
    <mergeCell ref="H58:H59"/>
    <mergeCell ref="A62:A63"/>
    <mergeCell ref="B62:B63"/>
    <mergeCell ref="C62:C63"/>
    <mergeCell ref="D62:D63"/>
    <mergeCell ref="J58:J59"/>
    <mergeCell ref="K58:K59"/>
    <mergeCell ref="A58:A59"/>
    <mergeCell ref="B58:B59"/>
    <mergeCell ref="C58:C59"/>
    <mergeCell ref="D58:D59"/>
    <mergeCell ref="J62:J63"/>
    <mergeCell ref="K62:K63"/>
    <mergeCell ref="L62:L63"/>
    <mergeCell ref="M62:M63"/>
    <mergeCell ref="E62:E63"/>
    <mergeCell ref="F62:F63"/>
    <mergeCell ref="G62:G63"/>
    <mergeCell ref="H62:H63"/>
    <mergeCell ref="H68:H70"/>
    <mergeCell ref="J68:J70"/>
    <mergeCell ref="K68:K70"/>
    <mergeCell ref="L68:L70"/>
    <mergeCell ref="A68:A70"/>
    <mergeCell ref="B68:B70"/>
    <mergeCell ref="C68:C70"/>
    <mergeCell ref="D68:D70"/>
    <mergeCell ref="M68:M70"/>
    <mergeCell ref="O68:O70"/>
    <mergeCell ref="A72:A73"/>
    <mergeCell ref="B72:B73"/>
    <mergeCell ref="C72:C73"/>
    <mergeCell ref="D72:D73"/>
    <mergeCell ref="E72:E73"/>
    <mergeCell ref="F72:F73"/>
    <mergeCell ref="G72:G73"/>
    <mergeCell ref="H72:H73"/>
    <mergeCell ref="J81:J82"/>
    <mergeCell ref="L81:L82"/>
    <mergeCell ref="J72:J73"/>
    <mergeCell ref="K72:K73"/>
    <mergeCell ref="L72:L73"/>
    <mergeCell ref="M72:M73"/>
    <mergeCell ref="A81:A82"/>
    <mergeCell ref="B81:B82"/>
    <mergeCell ref="C81:C82"/>
    <mergeCell ref="D81:D82"/>
    <mergeCell ref="H81:H82"/>
    <mergeCell ref="I81:I82"/>
    <mergeCell ref="M81:M82"/>
    <mergeCell ref="N81:N82"/>
    <mergeCell ref="O81:O82"/>
    <mergeCell ref="A83:A84"/>
    <mergeCell ref="B83:B84"/>
    <mergeCell ref="C83:C84"/>
    <mergeCell ref="D83:D84"/>
    <mergeCell ref="E83:E84"/>
    <mergeCell ref="F83:F84"/>
    <mergeCell ref="G83:G84"/>
    <mergeCell ref="O83:O84"/>
    <mergeCell ref="A89:A90"/>
    <mergeCell ref="B89:B90"/>
    <mergeCell ref="C89:C90"/>
    <mergeCell ref="D89:D90"/>
    <mergeCell ref="E89:E90"/>
    <mergeCell ref="F89:F90"/>
    <mergeCell ref="G89:G90"/>
    <mergeCell ref="H83:H84"/>
    <mergeCell ref="J83:J84"/>
    <mergeCell ref="H89:H90"/>
    <mergeCell ref="J89:J90"/>
    <mergeCell ref="K89:K90"/>
    <mergeCell ref="L89:L90"/>
    <mergeCell ref="M83:M84"/>
    <mergeCell ref="N83:N84"/>
    <mergeCell ref="K83:K84"/>
    <mergeCell ref="L83:L84"/>
    <mergeCell ref="M89:M90"/>
    <mergeCell ref="N89:N90"/>
    <mergeCell ref="O89:O90"/>
    <mergeCell ref="A91:A92"/>
    <mergeCell ref="B91:B92"/>
    <mergeCell ref="C91:C92"/>
    <mergeCell ref="D91:D92"/>
    <mergeCell ref="E91:E92"/>
    <mergeCell ref="F91:F92"/>
    <mergeCell ref="G91:G92"/>
    <mergeCell ref="N109:N110"/>
    <mergeCell ref="H91:H92"/>
    <mergeCell ref="J91:J92"/>
    <mergeCell ref="K91:K92"/>
    <mergeCell ref="L91:L92"/>
    <mergeCell ref="O91:O92"/>
    <mergeCell ref="M95:M96"/>
    <mergeCell ref="N95:N96"/>
    <mergeCell ref="O95:O96"/>
    <mergeCell ref="B95:B96"/>
    <mergeCell ref="C95:C96"/>
    <mergeCell ref="D95:D96"/>
    <mergeCell ref="N104:N105"/>
    <mergeCell ref="O104:O105"/>
    <mergeCell ref="B104:B105"/>
    <mergeCell ref="C104:C105"/>
    <mergeCell ref="D104:D105"/>
    <mergeCell ref="E104:E105"/>
    <mergeCell ref="M91:M92"/>
    <mergeCell ref="I95:I96"/>
    <mergeCell ref="J95:J96"/>
    <mergeCell ref="K95:K96"/>
    <mergeCell ref="L95:L96"/>
    <mergeCell ref="J104:J105"/>
    <mergeCell ref="K104:K105"/>
    <mergeCell ref="L104:L105"/>
    <mergeCell ref="M104:M105"/>
    <mergeCell ref="F104:F105"/>
    <mergeCell ref="G104:G105"/>
    <mergeCell ref="H104:H105"/>
    <mergeCell ref="I104:I105"/>
    <mergeCell ref="M109:M110"/>
    <mergeCell ref="F109:F110"/>
    <mergeCell ref="G109:G110"/>
    <mergeCell ref="H109:H110"/>
    <mergeCell ref="I109:I110"/>
    <mergeCell ref="B109:B110"/>
    <mergeCell ref="C109:C110"/>
    <mergeCell ref="D109:D110"/>
    <mergeCell ref="E109:E110"/>
    <mergeCell ref="H111:H112"/>
    <mergeCell ref="I111:I112"/>
    <mergeCell ref="J111:J112"/>
    <mergeCell ref="J109:J110"/>
    <mergeCell ref="K109:K110"/>
    <mergeCell ref="L109:L110"/>
    <mergeCell ref="K111:K112"/>
    <mergeCell ref="L111:L112"/>
    <mergeCell ref="M111:M112"/>
    <mergeCell ref="N111:N112"/>
    <mergeCell ref="O109:O110"/>
    <mergeCell ref="B111:B112"/>
    <mergeCell ref="C111:C112"/>
    <mergeCell ref="D111:D112"/>
    <mergeCell ref="F111:F112"/>
    <mergeCell ref="G111:G112"/>
    <mergeCell ref="O111:O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J113:J114"/>
    <mergeCell ref="I116:I117"/>
    <mergeCell ref="J116:J117"/>
    <mergeCell ref="K113:K114"/>
    <mergeCell ref="L113:L114"/>
    <mergeCell ref="M113:M114"/>
    <mergeCell ref="N113:N114"/>
    <mergeCell ref="M116:M117"/>
    <mergeCell ref="N116:N117"/>
    <mergeCell ref="O113:O114"/>
    <mergeCell ref="B116:B117"/>
    <mergeCell ref="C116:C117"/>
    <mergeCell ref="D116:D117"/>
    <mergeCell ref="E116:E117"/>
    <mergeCell ref="F116:F117"/>
    <mergeCell ref="G116:G117"/>
    <mergeCell ref="H116:H117"/>
    <mergeCell ref="O116:O117"/>
    <mergeCell ref="B120:B121"/>
    <mergeCell ref="C120:C121"/>
    <mergeCell ref="D120:D121"/>
    <mergeCell ref="E120:E121"/>
    <mergeCell ref="F120:F121"/>
    <mergeCell ref="G120:G121"/>
    <mergeCell ref="H120:H121"/>
    <mergeCell ref="K116:K117"/>
    <mergeCell ref="L116:L117"/>
    <mergeCell ref="K120:K121"/>
    <mergeCell ref="L120:L121"/>
    <mergeCell ref="I120:I121"/>
    <mergeCell ref="J120:J121"/>
    <mergeCell ref="M120:M121"/>
    <mergeCell ref="N120:N121"/>
    <mergeCell ref="O120:O121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I131:I132"/>
    <mergeCell ref="J131:J132"/>
    <mergeCell ref="K123:K124"/>
    <mergeCell ref="L123:L124"/>
    <mergeCell ref="M123:M124"/>
    <mergeCell ref="N123:N124"/>
    <mergeCell ref="L131:L132"/>
    <mergeCell ref="M131:M132"/>
    <mergeCell ref="N131:N132"/>
    <mergeCell ref="O131:O132"/>
    <mergeCell ref="O123:O124"/>
    <mergeCell ref="A131:A132"/>
    <mergeCell ref="B131:B132"/>
    <mergeCell ref="C131:C132"/>
    <mergeCell ref="D131:D132"/>
    <mergeCell ref="H131:H132"/>
    <mergeCell ref="F139:F140"/>
    <mergeCell ref="G139:G140"/>
    <mergeCell ref="H139:H140"/>
    <mergeCell ref="A139:A140"/>
    <mergeCell ref="B139:B140"/>
    <mergeCell ref="C139:C140"/>
    <mergeCell ref="D139:D140"/>
    <mergeCell ref="N139:N140"/>
    <mergeCell ref="O139:O140"/>
    <mergeCell ref="A145:A146"/>
    <mergeCell ref="C145:C146"/>
    <mergeCell ref="D145:D146"/>
    <mergeCell ref="J139:J140"/>
    <mergeCell ref="K139:K140"/>
    <mergeCell ref="L139:L140"/>
    <mergeCell ref="M139:M140"/>
    <mergeCell ref="E139:E140"/>
    <mergeCell ref="J145:J146"/>
    <mergeCell ref="L145:L146"/>
    <mergeCell ref="M145:M146"/>
    <mergeCell ref="N145:N146"/>
    <mergeCell ref="F145:F146"/>
    <mergeCell ref="G145:G146"/>
    <mergeCell ref="H145:H146"/>
    <mergeCell ref="I145:I146"/>
    <mergeCell ref="O145:O146"/>
    <mergeCell ref="B149:B150"/>
    <mergeCell ref="C149:C150"/>
    <mergeCell ref="D149:D150"/>
    <mergeCell ref="E149:E150"/>
    <mergeCell ref="F149:F150"/>
    <mergeCell ref="G149:G150"/>
    <mergeCell ref="H149:H150"/>
    <mergeCell ref="I149:I150"/>
    <mergeCell ref="J149:J150"/>
    <mergeCell ref="O149:O150"/>
    <mergeCell ref="O203:O204"/>
    <mergeCell ref="O205:O206"/>
    <mergeCell ref="O356:O357"/>
    <mergeCell ref="K149:K150"/>
    <mergeCell ref="L149:L150"/>
    <mergeCell ref="M149:M150"/>
    <mergeCell ref="N149:N150"/>
    <mergeCell ref="J163:J164"/>
    <mergeCell ref="K163:K164"/>
    <mergeCell ref="L163:L164"/>
    <mergeCell ref="M163:M164"/>
    <mergeCell ref="A163:A164"/>
    <mergeCell ref="B163:B164"/>
    <mergeCell ref="C163:C164"/>
    <mergeCell ref="D163:D164"/>
    <mergeCell ref="N163:N164"/>
    <mergeCell ref="O163:O164"/>
    <mergeCell ref="A165:A166"/>
    <mergeCell ref="B165:B166"/>
    <mergeCell ref="C165:C166"/>
    <mergeCell ref="D165:D166"/>
    <mergeCell ref="E165:E166"/>
    <mergeCell ref="F165:F166"/>
    <mergeCell ref="G165:G166"/>
    <mergeCell ref="H165:H166"/>
    <mergeCell ref="N194:N195"/>
    <mergeCell ref="O194:O195"/>
    <mergeCell ref="J165:J166"/>
    <mergeCell ref="K165:K166"/>
    <mergeCell ref="L165:L166"/>
    <mergeCell ref="M165:M166"/>
    <mergeCell ref="N165:N166"/>
    <mergeCell ref="O165:O166"/>
    <mergeCell ref="N190:N191"/>
    <mergeCell ref="O190:O191"/>
    <mergeCell ref="N192:N193"/>
    <mergeCell ref="O192:O193"/>
    <mergeCell ref="H175:H176"/>
    <mergeCell ref="I175:I176"/>
    <mergeCell ref="J175:J176"/>
    <mergeCell ref="L175:L176"/>
    <mergeCell ref="A175:A176"/>
    <mergeCell ref="B175:B176"/>
    <mergeCell ref="C175:C176"/>
    <mergeCell ref="D175:D176"/>
    <mergeCell ref="M175:M176"/>
    <mergeCell ref="N175:N176"/>
    <mergeCell ref="O175:O176"/>
    <mergeCell ref="B180:B181"/>
    <mergeCell ref="C180:C181"/>
    <mergeCell ref="D180:D181"/>
    <mergeCell ref="E180:E181"/>
    <mergeCell ref="F180:F181"/>
    <mergeCell ref="G180:G181"/>
    <mergeCell ref="H180:H181"/>
    <mergeCell ref="O180:O181"/>
    <mergeCell ref="B182:B183"/>
    <mergeCell ref="C182:C183"/>
    <mergeCell ref="D182:D183"/>
    <mergeCell ref="E182:E183"/>
    <mergeCell ref="F182:F183"/>
    <mergeCell ref="G182:G183"/>
    <mergeCell ref="H182:H183"/>
    <mergeCell ref="I180:I181"/>
    <mergeCell ref="J180:J181"/>
    <mergeCell ref="I182:I183"/>
    <mergeCell ref="J182:J183"/>
    <mergeCell ref="K182:K183"/>
    <mergeCell ref="L182:L183"/>
    <mergeCell ref="M180:M181"/>
    <mergeCell ref="N180:N181"/>
    <mergeCell ref="K180:K181"/>
    <mergeCell ref="L180:L181"/>
    <mergeCell ref="M182:M183"/>
    <mergeCell ref="N182:N183"/>
    <mergeCell ref="O182:O183"/>
    <mergeCell ref="A184:A185"/>
    <mergeCell ref="C184:C185"/>
    <mergeCell ref="D184:D185"/>
    <mergeCell ref="E184:E185"/>
    <mergeCell ref="F184:F185"/>
    <mergeCell ref="G184:G185"/>
    <mergeCell ref="H184:H185"/>
    <mergeCell ref="M184:M185"/>
    <mergeCell ref="N184:N185"/>
    <mergeCell ref="O184:O185"/>
    <mergeCell ref="N188:N189"/>
    <mergeCell ref="O188:O189"/>
    <mergeCell ref="I184:I185"/>
    <mergeCell ref="J184:J185"/>
    <mergeCell ref="K184:K185"/>
    <mergeCell ref="L184:L185"/>
    <mergeCell ref="L188:L189"/>
    <mergeCell ref="M188:M189"/>
    <mergeCell ref="H188:H189"/>
    <mergeCell ref="I188:I189"/>
    <mergeCell ref="B188:B189"/>
    <mergeCell ref="C188:C189"/>
    <mergeCell ref="D188:D189"/>
    <mergeCell ref="F188:F189"/>
    <mergeCell ref="G188:G189"/>
    <mergeCell ref="B190:B191"/>
    <mergeCell ref="C190:C191"/>
    <mergeCell ref="D190:D191"/>
    <mergeCell ref="E190:E191"/>
    <mergeCell ref="J188:J189"/>
    <mergeCell ref="K188:K189"/>
    <mergeCell ref="J190:J191"/>
    <mergeCell ref="K190:K191"/>
    <mergeCell ref="L190:L191"/>
    <mergeCell ref="M190:M191"/>
    <mergeCell ref="F190:F191"/>
    <mergeCell ref="G190:G191"/>
    <mergeCell ref="H190:H191"/>
    <mergeCell ref="I190:I191"/>
    <mergeCell ref="L192:L193"/>
    <mergeCell ref="M192:M193"/>
    <mergeCell ref="F192:F193"/>
    <mergeCell ref="G192:G193"/>
    <mergeCell ref="H192:H193"/>
    <mergeCell ref="I192:I193"/>
    <mergeCell ref="A194:A195"/>
    <mergeCell ref="B194:B195"/>
    <mergeCell ref="C194:C195"/>
    <mergeCell ref="D194:D195"/>
    <mergeCell ref="J192:J193"/>
    <mergeCell ref="K192:K193"/>
    <mergeCell ref="B192:B193"/>
    <mergeCell ref="C192:C193"/>
    <mergeCell ref="D192:D193"/>
    <mergeCell ref="E192:E193"/>
    <mergeCell ref="J194:J195"/>
    <mergeCell ref="K194:K195"/>
    <mergeCell ref="L194:L195"/>
    <mergeCell ref="M194:M195"/>
    <mergeCell ref="E194:E195"/>
    <mergeCell ref="F194:F195"/>
    <mergeCell ref="G194:G195"/>
    <mergeCell ref="H194:H195"/>
    <mergeCell ref="E198:E199"/>
    <mergeCell ref="F198:F199"/>
    <mergeCell ref="G198:G199"/>
    <mergeCell ref="H198:H199"/>
    <mergeCell ref="A198:A199"/>
    <mergeCell ref="B198:B199"/>
    <mergeCell ref="C198:C199"/>
    <mergeCell ref="D198:D199"/>
    <mergeCell ref="H203:H204"/>
    <mergeCell ref="I203:I204"/>
    <mergeCell ref="I198:I199"/>
    <mergeCell ref="J198:J199"/>
    <mergeCell ref="L198:L199"/>
    <mergeCell ref="M198:M199"/>
    <mergeCell ref="A203:A204"/>
    <mergeCell ref="C203:C204"/>
    <mergeCell ref="D203:D204"/>
    <mergeCell ref="E203:E204"/>
    <mergeCell ref="F203:F204"/>
    <mergeCell ref="G203:G204"/>
    <mergeCell ref="J203:J204"/>
    <mergeCell ref="L203:L204"/>
    <mergeCell ref="M203:M204"/>
    <mergeCell ref="N203:N204"/>
    <mergeCell ref="N198:N199"/>
    <mergeCell ref="O198:O199"/>
    <mergeCell ref="L205:L206"/>
    <mergeCell ref="M205:M206"/>
    <mergeCell ref="N205:N206"/>
    <mergeCell ref="F205:F206"/>
    <mergeCell ref="G205:G206"/>
    <mergeCell ref="H205:H206"/>
    <mergeCell ref="I205:I206"/>
    <mergeCell ref="N207:N208"/>
    <mergeCell ref="O207:O208"/>
    <mergeCell ref="A207:A208"/>
    <mergeCell ref="C207:C208"/>
    <mergeCell ref="D207:D208"/>
    <mergeCell ref="J205:J206"/>
    <mergeCell ref="A205:A206"/>
    <mergeCell ref="C205:C206"/>
    <mergeCell ref="D205:D206"/>
    <mergeCell ref="E205:E206"/>
    <mergeCell ref="A209:A210"/>
    <mergeCell ref="B209:B210"/>
    <mergeCell ref="C209:C210"/>
    <mergeCell ref="D209:D210"/>
    <mergeCell ref="L207:L208"/>
    <mergeCell ref="M207:M208"/>
    <mergeCell ref="I207:I208"/>
    <mergeCell ref="J207:J208"/>
    <mergeCell ref="I209:I210"/>
    <mergeCell ref="J209:J210"/>
    <mergeCell ref="L209:L210"/>
    <mergeCell ref="M209:M210"/>
    <mergeCell ref="E209:E210"/>
    <mergeCell ref="F209:F210"/>
    <mergeCell ref="G209:G210"/>
    <mergeCell ref="H209:H210"/>
    <mergeCell ref="N209:N210"/>
    <mergeCell ref="O209:O210"/>
    <mergeCell ref="A215:A216"/>
    <mergeCell ref="B215:B216"/>
    <mergeCell ref="C215:C216"/>
    <mergeCell ref="D215:D216"/>
    <mergeCell ref="E215:E216"/>
    <mergeCell ref="F215:F216"/>
    <mergeCell ref="G215:G216"/>
    <mergeCell ref="H215:H216"/>
    <mergeCell ref="N254:N255"/>
    <mergeCell ref="O254:O255"/>
    <mergeCell ref="N256:N257"/>
    <mergeCell ref="O256:O257"/>
    <mergeCell ref="J215:J216"/>
    <mergeCell ref="K215:K216"/>
    <mergeCell ref="L215:L216"/>
    <mergeCell ref="M215:M216"/>
    <mergeCell ref="N215:N216"/>
    <mergeCell ref="O215:O216"/>
    <mergeCell ref="N252:N253"/>
    <mergeCell ref="O252:O253"/>
    <mergeCell ref="O242:O243"/>
    <mergeCell ref="O244:O246"/>
    <mergeCell ref="N247:N249"/>
    <mergeCell ref="O247:O249"/>
    <mergeCell ref="O237:O238"/>
    <mergeCell ref="O250:O251"/>
    <mergeCell ref="A221:A222"/>
    <mergeCell ref="C221:C222"/>
    <mergeCell ref="D221:D222"/>
    <mergeCell ref="I221:I222"/>
    <mergeCell ref="H221:H222"/>
    <mergeCell ref="G221:G222"/>
    <mergeCell ref="F221:F222"/>
    <mergeCell ref="E221:E222"/>
    <mergeCell ref="M221:M222"/>
    <mergeCell ref="N221:N222"/>
    <mergeCell ref="O221:O222"/>
    <mergeCell ref="J221:J222"/>
    <mergeCell ref="K221:K222"/>
    <mergeCell ref="L221:L222"/>
    <mergeCell ref="M237:M238"/>
    <mergeCell ref="N237:N238"/>
    <mergeCell ref="A237:A238"/>
    <mergeCell ref="C237:C238"/>
    <mergeCell ref="D237:D238"/>
    <mergeCell ref="F237:F238"/>
    <mergeCell ref="E237:E238"/>
    <mergeCell ref="G237:G238"/>
    <mergeCell ref="H237:H238"/>
    <mergeCell ref="I237:I238"/>
    <mergeCell ref="A242:A243"/>
    <mergeCell ref="C242:C243"/>
    <mergeCell ref="D242:D243"/>
    <mergeCell ref="E242:E243"/>
    <mergeCell ref="K237:K238"/>
    <mergeCell ref="L237:L238"/>
    <mergeCell ref="J237:J238"/>
    <mergeCell ref="M242:M243"/>
    <mergeCell ref="N242:N243"/>
    <mergeCell ref="F242:F243"/>
    <mergeCell ref="G242:G243"/>
    <mergeCell ref="H242:H243"/>
    <mergeCell ref="J242:J243"/>
    <mergeCell ref="B244:B246"/>
    <mergeCell ref="C244:C246"/>
    <mergeCell ref="D244:D246"/>
    <mergeCell ref="E244:E246"/>
    <mergeCell ref="K242:K243"/>
    <mergeCell ref="L242:L243"/>
    <mergeCell ref="K244:K246"/>
    <mergeCell ref="L244:L246"/>
    <mergeCell ref="M244:M246"/>
    <mergeCell ref="N244:N246"/>
    <mergeCell ref="F244:F246"/>
    <mergeCell ref="G244:G246"/>
    <mergeCell ref="H244:H246"/>
    <mergeCell ref="J244:J246"/>
    <mergeCell ref="E247:E249"/>
    <mergeCell ref="F247:F249"/>
    <mergeCell ref="G247:G249"/>
    <mergeCell ref="H247:H249"/>
    <mergeCell ref="A247:A249"/>
    <mergeCell ref="B247:B249"/>
    <mergeCell ref="C247:C249"/>
    <mergeCell ref="D247:D249"/>
    <mergeCell ref="J250:J251"/>
    <mergeCell ref="K250:K251"/>
    <mergeCell ref="L250:L251"/>
    <mergeCell ref="M250:M251"/>
    <mergeCell ref="N250:N251"/>
    <mergeCell ref="J247:J249"/>
    <mergeCell ref="K247:K249"/>
    <mergeCell ref="L247:L249"/>
    <mergeCell ref="M247:M249"/>
    <mergeCell ref="A252:A253"/>
    <mergeCell ref="B252:B253"/>
    <mergeCell ref="C252:C253"/>
    <mergeCell ref="D252:D253"/>
    <mergeCell ref="B250:B251"/>
    <mergeCell ref="C250:C251"/>
    <mergeCell ref="D250:D251"/>
    <mergeCell ref="J252:J253"/>
    <mergeCell ref="K252:K253"/>
    <mergeCell ref="L252:L253"/>
    <mergeCell ref="M252:M253"/>
    <mergeCell ref="E252:E253"/>
    <mergeCell ref="F252:F253"/>
    <mergeCell ref="G252:G253"/>
    <mergeCell ref="H252:H253"/>
    <mergeCell ref="L254:L255"/>
    <mergeCell ref="M254:M255"/>
    <mergeCell ref="E254:E255"/>
    <mergeCell ref="F254:F255"/>
    <mergeCell ref="G254:G255"/>
    <mergeCell ref="H254:H255"/>
    <mergeCell ref="A256:A257"/>
    <mergeCell ref="B256:B257"/>
    <mergeCell ref="C256:C257"/>
    <mergeCell ref="D256:D257"/>
    <mergeCell ref="J254:J255"/>
    <mergeCell ref="K254:K255"/>
    <mergeCell ref="A254:A255"/>
    <mergeCell ref="B254:B255"/>
    <mergeCell ref="C254:C255"/>
    <mergeCell ref="D254:D255"/>
    <mergeCell ref="J256:J257"/>
    <mergeCell ref="K256:K257"/>
    <mergeCell ref="L256:L257"/>
    <mergeCell ref="M256:M257"/>
    <mergeCell ref="E256:E257"/>
    <mergeCell ref="F256:F257"/>
    <mergeCell ref="G256:G257"/>
    <mergeCell ref="H256:H257"/>
    <mergeCell ref="E258:E259"/>
    <mergeCell ref="F258:F259"/>
    <mergeCell ref="G258:G259"/>
    <mergeCell ref="H258:H259"/>
    <mergeCell ref="A258:A259"/>
    <mergeCell ref="B258:B259"/>
    <mergeCell ref="C258:C259"/>
    <mergeCell ref="D258:D259"/>
    <mergeCell ref="G260:G261"/>
    <mergeCell ref="H260:H261"/>
    <mergeCell ref="J258:J259"/>
    <mergeCell ref="K258:K259"/>
    <mergeCell ref="L258:L259"/>
    <mergeCell ref="M258:M259"/>
    <mergeCell ref="A260:A261"/>
    <mergeCell ref="B260:B261"/>
    <mergeCell ref="C260:C261"/>
    <mergeCell ref="D260:D261"/>
    <mergeCell ref="E260:E261"/>
    <mergeCell ref="F260:F261"/>
    <mergeCell ref="J260:J261"/>
    <mergeCell ref="K260:K261"/>
    <mergeCell ref="L260:L261"/>
    <mergeCell ref="M260:M261"/>
    <mergeCell ref="N258:N259"/>
    <mergeCell ref="O258:O259"/>
    <mergeCell ref="N260:N261"/>
    <mergeCell ref="O260:O261"/>
    <mergeCell ref="A262:A263"/>
    <mergeCell ref="B262:B263"/>
    <mergeCell ref="C262:C263"/>
    <mergeCell ref="D262:D263"/>
    <mergeCell ref="E262:E263"/>
    <mergeCell ref="F262:F263"/>
    <mergeCell ref="G262:G263"/>
    <mergeCell ref="H262:H263"/>
    <mergeCell ref="G264:G265"/>
    <mergeCell ref="H264:H265"/>
    <mergeCell ref="J262:J263"/>
    <mergeCell ref="K262:K263"/>
    <mergeCell ref="L262:L263"/>
    <mergeCell ref="M262:M263"/>
    <mergeCell ref="A264:A265"/>
    <mergeCell ref="B264:B265"/>
    <mergeCell ref="C264:C265"/>
    <mergeCell ref="D264:D265"/>
    <mergeCell ref="E264:E265"/>
    <mergeCell ref="F264:F265"/>
    <mergeCell ref="J264:J265"/>
    <mergeCell ref="K264:K265"/>
    <mergeCell ref="L264:L265"/>
    <mergeCell ref="M264:M265"/>
    <mergeCell ref="N262:N263"/>
    <mergeCell ref="O262:O263"/>
    <mergeCell ref="N264:N265"/>
    <mergeCell ref="O264:O265"/>
    <mergeCell ref="A266:A267"/>
    <mergeCell ref="B266:B267"/>
    <mergeCell ref="C266:C267"/>
    <mergeCell ref="D266:D267"/>
    <mergeCell ref="E266:E267"/>
    <mergeCell ref="F266:F267"/>
    <mergeCell ref="G266:G267"/>
    <mergeCell ref="H266:H267"/>
    <mergeCell ref="N296:N297"/>
    <mergeCell ref="O296:O297"/>
    <mergeCell ref="J266:J267"/>
    <mergeCell ref="K266:K267"/>
    <mergeCell ref="L266:L267"/>
    <mergeCell ref="M266:M267"/>
    <mergeCell ref="N266:N267"/>
    <mergeCell ref="O266:O267"/>
    <mergeCell ref="N289:N290"/>
    <mergeCell ref="O289:O290"/>
    <mergeCell ref="N293:N294"/>
    <mergeCell ref="O293:O294"/>
    <mergeCell ref="A268:A269"/>
    <mergeCell ref="B268:B269"/>
    <mergeCell ref="C268:C269"/>
    <mergeCell ref="D268:D269"/>
    <mergeCell ref="G268:G269"/>
    <mergeCell ref="F268:F269"/>
    <mergeCell ref="E268:E269"/>
    <mergeCell ref="O268:O269"/>
    <mergeCell ref="A270:A271"/>
    <mergeCell ref="B270:B271"/>
    <mergeCell ref="C270:C271"/>
    <mergeCell ref="D270:D271"/>
    <mergeCell ref="E270:E271"/>
    <mergeCell ref="F270:F271"/>
    <mergeCell ref="G270:G271"/>
    <mergeCell ref="J268:J269"/>
    <mergeCell ref="K268:K269"/>
    <mergeCell ref="H270:H271"/>
    <mergeCell ref="J270:J271"/>
    <mergeCell ref="K270:K271"/>
    <mergeCell ref="L270:L271"/>
    <mergeCell ref="M268:M269"/>
    <mergeCell ref="N268:N269"/>
    <mergeCell ref="L268:L269"/>
    <mergeCell ref="M270:M271"/>
    <mergeCell ref="N270:N271"/>
    <mergeCell ref="O270:O271"/>
    <mergeCell ref="A272:A273"/>
    <mergeCell ref="B272:B273"/>
    <mergeCell ref="C272:C273"/>
    <mergeCell ref="D272:D273"/>
    <mergeCell ref="E272:E273"/>
    <mergeCell ref="F272:F273"/>
    <mergeCell ref="G272:G273"/>
    <mergeCell ref="O272:O273"/>
    <mergeCell ref="A274:A275"/>
    <mergeCell ref="B274:B275"/>
    <mergeCell ref="C274:C275"/>
    <mergeCell ref="D274:D275"/>
    <mergeCell ref="E274:E275"/>
    <mergeCell ref="F274:F275"/>
    <mergeCell ref="G274:G275"/>
    <mergeCell ref="H272:H273"/>
    <mergeCell ref="J272:J273"/>
    <mergeCell ref="H274:H275"/>
    <mergeCell ref="J274:J275"/>
    <mergeCell ref="K274:K275"/>
    <mergeCell ref="L274:L275"/>
    <mergeCell ref="M272:M273"/>
    <mergeCell ref="N272:N273"/>
    <mergeCell ref="K272:K273"/>
    <mergeCell ref="L272:L273"/>
    <mergeCell ref="M274:M275"/>
    <mergeCell ref="N274:N275"/>
    <mergeCell ref="O274:O275"/>
    <mergeCell ref="A276:A277"/>
    <mergeCell ref="B276:B277"/>
    <mergeCell ref="C276:C277"/>
    <mergeCell ref="D276:D277"/>
    <mergeCell ref="E276:E277"/>
    <mergeCell ref="F276:F277"/>
    <mergeCell ref="G276:G277"/>
    <mergeCell ref="O276:O277"/>
    <mergeCell ref="B280:B281"/>
    <mergeCell ref="C280:C281"/>
    <mergeCell ref="D280:D281"/>
    <mergeCell ref="E280:E281"/>
    <mergeCell ref="F280:F281"/>
    <mergeCell ref="G280:G281"/>
    <mergeCell ref="H280:H281"/>
    <mergeCell ref="H276:H277"/>
    <mergeCell ref="J276:J277"/>
    <mergeCell ref="I280:I281"/>
    <mergeCell ref="J280:J281"/>
    <mergeCell ref="K280:K281"/>
    <mergeCell ref="L280:L281"/>
    <mergeCell ref="M276:M277"/>
    <mergeCell ref="N276:N277"/>
    <mergeCell ref="K276:K277"/>
    <mergeCell ref="L276:L277"/>
    <mergeCell ref="M280:M281"/>
    <mergeCell ref="N280:N281"/>
    <mergeCell ref="O280:O281"/>
    <mergeCell ref="A282:A284"/>
    <mergeCell ref="B282:B284"/>
    <mergeCell ref="D282:D284"/>
    <mergeCell ref="E282:E284"/>
    <mergeCell ref="F282:F284"/>
    <mergeCell ref="G282:G284"/>
    <mergeCell ref="H282:H284"/>
    <mergeCell ref="N282:N284"/>
    <mergeCell ref="O282:O284"/>
    <mergeCell ref="N285:N287"/>
    <mergeCell ref="O285:O287"/>
    <mergeCell ref="I282:I284"/>
    <mergeCell ref="J282:J284"/>
    <mergeCell ref="K282:K284"/>
    <mergeCell ref="L282:L284"/>
    <mergeCell ref="A285:A287"/>
    <mergeCell ref="C285:C287"/>
    <mergeCell ref="D285:D287"/>
    <mergeCell ref="F285:F287"/>
    <mergeCell ref="G285:G287"/>
    <mergeCell ref="M282:M284"/>
    <mergeCell ref="J285:J287"/>
    <mergeCell ref="K285:K287"/>
    <mergeCell ref="L285:L287"/>
    <mergeCell ref="M285:M287"/>
    <mergeCell ref="H285:H287"/>
    <mergeCell ref="I285:I287"/>
    <mergeCell ref="L289:L290"/>
    <mergeCell ref="M289:M290"/>
    <mergeCell ref="F289:F290"/>
    <mergeCell ref="G289:G290"/>
    <mergeCell ref="H289:H290"/>
    <mergeCell ref="I289:I290"/>
    <mergeCell ref="A293:A294"/>
    <mergeCell ref="C293:C294"/>
    <mergeCell ref="D293:D294"/>
    <mergeCell ref="E293:E294"/>
    <mergeCell ref="J289:J290"/>
    <mergeCell ref="K289:K290"/>
    <mergeCell ref="A289:A290"/>
    <mergeCell ref="C289:C290"/>
    <mergeCell ref="D289:D290"/>
    <mergeCell ref="E289:E290"/>
    <mergeCell ref="J293:J294"/>
    <mergeCell ref="K293:K294"/>
    <mergeCell ref="L293:L294"/>
    <mergeCell ref="M293:M294"/>
    <mergeCell ref="F293:F294"/>
    <mergeCell ref="G293:G294"/>
    <mergeCell ref="H293:H294"/>
    <mergeCell ref="I293:I294"/>
    <mergeCell ref="L296:L297"/>
    <mergeCell ref="M296:M297"/>
    <mergeCell ref="E296:E297"/>
    <mergeCell ref="F296:F297"/>
    <mergeCell ref="G296:G297"/>
    <mergeCell ref="H296:H297"/>
    <mergeCell ref="A298:A299"/>
    <mergeCell ref="B298:B299"/>
    <mergeCell ref="C298:C299"/>
    <mergeCell ref="D298:D299"/>
    <mergeCell ref="J296:J297"/>
    <mergeCell ref="K296:K297"/>
    <mergeCell ref="A296:A297"/>
    <mergeCell ref="B296:B297"/>
    <mergeCell ref="C296:C297"/>
    <mergeCell ref="D296:D297"/>
    <mergeCell ref="I298:I299"/>
    <mergeCell ref="J298:J299"/>
    <mergeCell ref="L298:L299"/>
    <mergeCell ref="M298:M299"/>
    <mergeCell ref="E298:E299"/>
    <mergeCell ref="F298:F299"/>
    <mergeCell ref="G298:G299"/>
    <mergeCell ref="H298:H299"/>
    <mergeCell ref="N298:N299"/>
    <mergeCell ref="O298:O299"/>
    <mergeCell ref="A300:A301"/>
    <mergeCell ref="C300:C301"/>
    <mergeCell ref="D300:D301"/>
    <mergeCell ref="E300:E301"/>
    <mergeCell ref="F300:F301"/>
    <mergeCell ref="G300:G301"/>
    <mergeCell ref="H300:H301"/>
    <mergeCell ref="I300:I301"/>
    <mergeCell ref="O352:O353"/>
    <mergeCell ref="J300:J301"/>
    <mergeCell ref="K300:K301"/>
    <mergeCell ref="L300:L301"/>
    <mergeCell ref="M300:M301"/>
    <mergeCell ref="N300:N301"/>
    <mergeCell ref="O300:O301"/>
    <mergeCell ref="N336:N337"/>
    <mergeCell ref="O336:O337"/>
    <mergeCell ref="H304:H305"/>
    <mergeCell ref="I304:I305"/>
    <mergeCell ref="J304:J305"/>
    <mergeCell ref="L304:L305"/>
    <mergeCell ref="A304:A305"/>
    <mergeCell ref="B304:B305"/>
    <mergeCell ref="C304:C305"/>
    <mergeCell ref="D304:D305"/>
    <mergeCell ref="M304:M305"/>
    <mergeCell ref="N304:N305"/>
    <mergeCell ref="O304:O305"/>
    <mergeCell ref="A306:A307"/>
    <mergeCell ref="B306:B307"/>
    <mergeCell ref="C306:C307"/>
    <mergeCell ref="D306:D307"/>
    <mergeCell ref="E306:E307"/>
    <mergeCell ref="F306:F307"/>
    <mergeCell ref="G306:G307"/>
    <mergeCell ref="O306:O307"/>
    <mergeCell ref="A308:A309"/>
    <mergeCell ref="B308:B309"/>
    <mergeCell ref="C308:C309"/>
    <mergeCell ref="D308:D309"/>
    <mergeCell ref="E308:E309"/>
    <mergeCell ref="F308:F309"/>
    <mergeCell ref="G308:G309"/>
    <mergeCell ref="H306:H307"/>
    <mergeCell ref="I306:I307"/>
    <mergeCell ref="H308:H309"/>
    <mergeCell ref="I308:I309"/>
    <mergeCell ref="J308:J309"/>
    <mergeCell ref="L308:L309"/>
    <mergeCell ref="M306:M307"/>
    <mergeCell ref="N306:N307"/>
    <mergeCell ref="J306:J307"/>
    <mergeCell ref="L306:L307"/>
    <mergeCell ref="M308:M309"/>
    <mergeCell ref="N308:N309"/>
    <mergeCell ref="O308:O309"/>
    <mergeCell ref="A313:A314"/>
    <mergeCell ref="B313:B314"/>
    <mergeCell ref="C313:C314"/>
    <mergeCell ref="D313:D314"/>
    <mergeCell ref="E313:E314"/>
    <mergeCell ref="F313:F314"/>
    <mergeCell ref="G313:G314"/>
    <mergeCell ref="O313:O314"/>
    <mergeCell ref="A315:A316"/>
    <mergeCell ref="B315:B316"/>
    <mergeCell ref="C315:C316"/>
    <mergeCell ref="D315:D316"/>
    <mergeCell ref="E315:E316"/>
    <mergeCell ref="F315:F316"/>
    <mergeCell ref="G315:G316"/>
    <mergeCell ref="H313:H314"/>
    <mergeCell ref="I313:I314"/>
    <mergeCell ref="H315:H316"/>
    <mergeCell ref="I315:I316"/>
    <mergeCell ref="J315:J316"/>
    <mergeCell ref="L315:L316"/>
    <mergeCell ref="M313:M314"/>
    <mergeCell ref="N313:N314"/>
    <mergeCell ref="J313:J314"/>
    <mergeCell ref="L313:L314"/>
    <mergeCell ref="M315:M316"/>
    <mergeCell ref="N315:N316"/>
    <mergeCell ref="O315:O316"/>
    <mergeCell ref="B318:B319"/>
    <mergeCell ref="C318:C319"/>
    <mergeCell ref="D318:D319"/>
    <mergeCell ref="E318:E319"/>
    <mergeCell ref="F318:F319"/>
    <mergeCell ref="G318:G319"/>
    <mergeCell ref="H318:H319"/>
    <mergeCell ref="N331:N332"/>
    <mergeCell ref="O331:O332"/>
    <mergeCell ref="I318:I319"/>
    <mergeCell ref="J318:J319"/>
    <mergeCell ref="K318:K319"/>
    <mergeCell ref="L318:L319"/>
    <mergeCell ref="M318:M319"/>
    <mergeCell ref="N318:N319"/>
    <mergeCell ref="O318:O319"/>
    <mergeCell ref="N325:N326"/>
    <mergeCell ref="O325:O326"/>
    <mergeCell ref="N327:N328"/>
    <mergeCell ref="O327:O328"/>
    <mergeCell ref="L325:L326"/>
    <mergeCell ref="M325:M326"/>
    <mergeCell ref="E325:E326"/>
    <mergeCell ref="F325:F326"/>
    <mergeCell ref="G325:G326"/>
    <mergeCell ref="H325:H326"/>
    <mergeCell ref="A327:A328"/>
    <mergeCell ref="B327:B328"/>
    <mergeCell ref="C327:C328"/>
    <mergeCell ref="D327:D328"/>
    <mergeCell ref="I325:I326"/>
    <mergeCell ref="J325:J326"/>
    <mergeCell ref="A325:A326"/>
    <mergeCell ref="B325:B326"/>
    <mergeCell ref="C325:C326"/>
    <mergeCell ref="D325:D326"/>
    <mergeCell ref="L327:L328"/>
    <mergeCell ref="M327:M328"/>
    <mergeCell ref="E327:E328"/>
    <mergeCell ref="F327:F328"/>
    <mergeCell ref="G327:G328"/>
    <mergeCell ref="H327:H328"/>
    <mergeCell ref="B331:B332"/>
    <mergeCell ref="C331:C332"/>
    <mergeCell ref="D331:D332"/>
    <mergeCell ref="E331:E332"/>
    <mergeCell ref="I327:I328"/>
    <mergeCell ref="J327:J328"/>
    <mergeCell ref="J331:J332"/>
    <mergeCell ref="K331:K332"/>
    <mergeCell ref="L331:L332"/>
    <mergeCell ref="M331:M332"/>
    <mergeCell ref="H331:H332"/>
    <mergeCell ref="I331:I332"/>
    <mergeCell ref="L336:L337"/>
    <mergeCell ref="M336:M337"/>
    <mergeCell ref="H336:H337"/>
    <mergeCell ref="I336:I337"/>
    <mergeCell ref="B336:B337"/>
    <mergeCell ref="C336:C337"/>
    <mergeCell ref="D336:D337"/>
    <mergeCell ref="E336:E337"/>
    <mergeCell ref="A343:A344"/>
    <mergeCell ref="B343:B344"/>
    <mergeCell ref="C343:C344"/>
    <mergeCell ref="D343:D344"/>
    <mergeCell ref="J336:J337"/>
    <mergeCell ref="K336:K337"/>
    <mergeCell ref="O343:O344"/>
    <mergeCell ref="B345:B346"/>
    <mergeCell ref="C345:C346"/>
    <mergeCell ref="D345:D346"/>
    <mergeCell ref="E345:E346"/>
    <mergeCell ref="F345:F346"/>
    <mergeCell ref="G345:G346"/>
    <mergeCell ref="H345:H346"/>
    <mergeCell ref="H343:H344"/>
    <mergeCell ref="J343:J344"/>
    <mergeCell ref="I345:I346"/>
    <mergeCell ref="J345:J346"/>
    <mergeCell ref="K345:K346"/>
    <mergeCell ref="L345:L346"/>
    <mergeCell ref="M343:M344"/>
    <mergeCell ref="N343:N344"/>
    <mergeCell ref="K343:K344"/>
    <mergeCell ref="L343:L344"/>
    <mergeCell ref="M345:M346"/>
    <mergeCell ref="N345:N346"/>
    <mergeCell ref="O345:O346"/>
    <mergeCell ref="A350:A351"/>
    <mergeCell ref="B350:B351"/>
    <mergeCell ref="C350:C351"/>
    <mergeCell ref="D350:D351"/>
    <mergeCell ref="E350:E351"/>
    <mergeCell ref="F350:F351"/>
    <mergeCell ref="G350:G351"/>
    <mergeCell ref="O350:O351"/>
    <mergeCell ref="A352:A353"/>
    <mergeCell ref="B352:B353"/>
    <mergeCell ref="C352:C353"/>
    <mergeCell ref="D352:D353"/>
    <mergeCell ref="E352:E353"/>
    <mergeCell ref="F352:F353"/>
    <mergeCell ref="G352:G353"/>
    <mergeCell ref="H350:H351"/>
    <mergeCell ref="J350:J351"/>
    <mergeCell ref="H352:H353"/>
    <mergeCell ref="J352:J353"/>
    <mergeCell ref="L352:L353"/>
    <mergeCell ref="M352:M353"/>
    <mergeCell ref="M350:M351"/>
    <mergeCell ref="N350:N351"/>
    <mergeCell ref="K350:K351"/>
    <mergeCell ref="L350:L351"/>
    <mergeCell ref="N352:N353"/>
    <mergeCell ref="E354:E355"/>
    <mergeCell ref="F354:F355"/>
    <mergeCell ref="G354:G355"/>
    <mergeCell ref="H354:H355"/>
    <mergeCell ref="A354:A355"/>
    <mergeCell ref="B354:B355"/>
    <mergeCell ref="C354:C355"/>
    <mergeCell ref="D354:D355"/>
    <mergeCell ref="G356:G357"/>
    <mergeCell ref="H356:H357"/>
    <mergeCell ref="J354:J355"/>
    <mergeCell ref="K354:K355"/>
    <mergeCell ref="L354:L355"/>
    <mergeCell ref="M354:M355"/>
    <mergeCell ref="A356:A357"/>
    <mergeCell ref="B356:B357"/>
    <mergeCell ref="C356:C357"/>
    <mergeCell ref="D356:D357"/>
    <mergeCell ref="E356:E357"/>
    <mergeCell ref="F356:F357"/>
    <mergeCell ref="J356:J357"/>
    <mergeCell ref="L356:L357"/>
    <mergeCell ref="M356:M357"/>
    <mergeCell ref="N356:N357"/>
    <mergeCell ref="N354:N355"/>
    <mergeCell ref="O354:O355"/>
    <mergeCell ref="M359:M360"/>
    <mergeCell ref="N359:N360"/>
    <mergeCell ref="A359:A360"/>
    <mergeCell ref="B359:B360"/>
    <mergeCell ref="C359:C360"/>
    <mergeCell ref="D359:D360"/>
    <mergeCell ref="F361:F362"/>
    <mergeCell ref="G361:G362"/>
    <mergeCell ref="H361:H362"/>
    <mergeCell ref="J361:J362"/>
    <mergeCell ref="J359:J360"/>
    <mergeCell ref="L359:L360"/>
    <mergeCell ref="L361:L362"/>
    <mergeCell ref="M361:M362"/>
    <mergeCell ref="N361:N362"/>
    <mergeCell ref="O361:O362"/>
    <mergeCell ref="O359:O360"/>
    <mergeCell ref="A361:A362"/>
    <mergeCell ref="B361:B362"/>
    <mergeCell ref="C361:C362"/>
    <mergeCell ref="D361:D362"/>
    <mergeCell ref="E361:E362"/>
    <mergeCell ref="E363:E364"/>
    <mergeCell ref="F363:F364"/>
    <mergeCell ref="G363:G364"/>
    <mergeCell ref="H363:H364"/>
    <mergeCell ref="A363:A364"/>
    <mergeCell ref="B363:B364"/>
    <mergeCell ref="C363:C364"/>
    <mergeCell ref="D363:D364"/>
    <mergeCell ref="G367:G368"/>
    <mergeCell ref="H367:H368"/>
    <mergeCell ref="J363:J364"/>
    <mergeCell ref="K363:K364"/>
    <mergeCell ref="L363:L364"/>
    <mergeCell ref="M363:M364"/>
    <mergeCell ref="A367:A368"/>
    <mergeCell ref="B367:B368"/>
    <mergeCell ref="C367:C368"/>
    <mergeCell ref="D367:D368"/>
    <mergeCell ref="E367:E368"/>
    <mergeCell ref="F367:F368"/>
    <mergeCell ref="J367:J368"/>
    <mergeCell ref="K367:K368"/>
    <mergeCell ref="L367:L368"/>
    <mergeCell ref="M367:M368"/>
    <mergeCell ref="N363:N364"/>
    <mergeCell ref="O363:O364"/>
    <mergeCell ref="N367:N368"/>
    <mergeCell ref="O367:O368"/>
    <mergeCell ref="A369:A370"/>
    <mergeCell ref="B369:B370"/>
    <mergeCell ref="C369:C370"/>
    <mergeCell ref="D369:D370"/>
    <mergeCell ref="E369:E370"/>
    <mergeCell ref="F369:F370"/>
    <mergeCell ref="G369:G370"/>
    <mergeCell ref="H369:H370"/>
    <mergeCell ref="O398:O399"/>
    <mergeCell ref="J369:J370"/>
    <mergeCell ref="K369:K370"/>
    <mergeCell ref="L369:L370"/>
    <mergeCell ref="M369:M370"/>
    <mergeCell ref="N369:N370"/>
    <mergeCell ref="O369:O370"/>
    <mergeCell ref="N395:N396"/>
    <mergeCell ref="O395:O396"/>
    <mergeCell ref="M376:M377"/>
    <mergeCell ref="H376:H377"/>
    <mergeCell ref="J376:J377"/>
    <mergeCell ref="K376:K377"/>
    <mergeCell ref="L376:L377"/>
    <mergeCell ref="A376:A377"/>
    <mergeCell ref="B376:B377"/>
    <mergeCell ref="C376:C377"/>
    <mergeCell ref="D376:D377"/>
    <mergeCell ref="N376:N377"/>
    <mergeCell ref="O376:O377"/>
    <mergeCell ref="A379:A380"/>
    <mergeCell ref="B379:B380"/>
    <mergeCell ref="C379:C380"/>
    <mergeCell ref="D379:D380"/>
    <mergeCell ref="E379:E380"/>
    <mergeCell ref="F379:F380"/>
    <mergeCell ref="G379:G380"/>
    <mergeCell ref="H379:H380"/>
    <mergeCell ref="G381:G382"/>
    <mergeCell ref="H381:H382"/>
    <mergeCell ref="J379:J380"/>
    <mergeCell ref="K379:K380"/>
    <mergeCell ref="L379:L380"/>
    <mergeCell ref="M379:M380"/>
    <mergeCell ref="A381:A382"/>
    <mergeCell ref="B381:B382"/>
    <mergeCell ref="C381:C382"/>
    <mergeCell ref="D381:D382"/>
    <mergeCell ref="E381:E382"/>
    <mergeCell ref="F381:F382"/>
    <mergeCell ref="J381:J382"/>
    <mergeCell ref="K381:K382"/>
    <mergeCell ref="L381:L382"/>
    <mergeCell ref="M381:M382"/>
    <mergeCell ref="N379:N380"/>
    <mergeCell ref="O379:O380"/>
    <mergeCell ref="N381:N382"/>
    <mergeCell ref="O381:O382"/>
    <mergeCell ref="A385:A386"/>
    <mergeCell ref="B385:B386"/>
    <mergeCell ref="D385:D386"/>
    <mergeCell ref="E385:E386"/>
    <mergeCell ref="F385:F386"/>
    <mergeCell ref="G385:G386"/>
    <mergeCell ref="H385:H386"/>
    <mergeCell ref="I385:I386"/>
    <mergeCell ref="N385:N386"/>
    <mergeCell ref="O385:O386"/>
    <mergeCell ref="N388:N390"/>
    <mergeCell ref="O388:O390"/>
    <mergeCell ref="J385:J386"/>
    <mergeCell ref="K385:K386"/>
    <mergeCell ref="L385:L386"/>
    <mergeCell ref="M385:M386"/>
    <mergeCell ref="K388:K390"/>
    <mergeCell ref="L388:L390"/>
    <mergeCell ref="M388:M390"/>
    <mergeCell ref="H388:H390"/>
    <mergeCell ref="I388:I390"/>
    <mergeCell ref="A388:A390"/>
    <mergeCell ref="B388:B390"/>
    <mergeCell ref="D388:D390"/>
    <mergeCell ref="E388:E390"/>
    <mergeCell ref="A395:A396"/>
    <mergeCell ref="B395:B396"/>
    <mergeCell ref="D395:D396"/>
    <mergeCell ref="E395:E396"/>
    <mergeCell ref="F395:F396"/>
    <mergeCell ref="J388:J390"/>
    <mergeCell ref="J395:J396"/>
    <mergeCell ref="K395:K396"/>
    <mergeCell ref="L395:L396"/>
    <mergeCell ref="M395:M396"/>
    <mergeCell ref="G395:G396"/>
    <mergeCell ref="H395:H396"/>
    <mergeCell ref="I395:I396"/>
    <mergeCell ref="H398:H399"/>
    <mergeCell ref="I398:I399"/>
    <mergeCell ref="A398:A399"/>
    <mergeCell ref="B398:B399"/>
    <mergeCell ref="D398:D399"/>
    <mergeCell ref="E398:E399"/>
    <mergeCell ref="F398:F399"/>
    <mergeCell ref="G398:G399"/>
    <mergeCell ref="F409:F416"/>
    <mergeCell ref="N409:N416"/>
    <mergeCell ref="J398:J399"/>
    <mergeCell ref="K398:K399"/>
    <mergeCell ref="L398:L399"/>
    <mergeCell ref="M398:M399"/>
    <mergeCell ref="N398:N399"/>
    <mergeCell ref="J409:J416"/>
    <mergeCell ref="K409:K416"/>
    <mergeCell ref="L409:L416"/>
    <mergeCell ref="G419:G420"/>
    <mergeCell ref="H419:H420"/>
    <mergeCell ref="J419:J420"/>
    <mergeCell ref="A409:A416"/>
    <mergeCell ref="B409:B416"/>
    <mergeCell ref="D409:D416"/>
    <mergeCell ref="I409:I416"/>
    <mergeCell ref="E409:E416"/>
    <mergeCell ref="H409:H416"/>
    <mergeCell ref="G409:G416"/>
    <mergeCell ref="A419:A420"/>
    <mergeCell ref="B419:B420"/>
    <mergeCell ref="C419:C420"/>
    <mergeCell ref="D419:D420"/>
    <mergeCell ref="E419:E420"/>
    <mergeCell ref="F419:F420"/>
    <mergeCell ref="I421:I423"/>
    <mergeCell ref="K419:K420"/>
    <mergeCell ref="L419:L420"/>
    <mergeCell ref="M419:M420"/>
    <mergeCell ref="N419:N420"/>
    <mergeCell ref="O409:O416"/>
    <mergeCell ref="M409:M416"/>
    <mergeCell ref="B421:B423"/>
    <mergeCell ref="C421:C423"/>
    <mergeCell ref="D421:D423"/>
    <mergeCell ref="F421:F423"/>
    <mergeCell ref="G421:G423"/>
    <mergeCell ref="H421:H423"/>
    <mergeCell ref="K421:K423"/>
    <mergeCell ref="L421:L423"/>
    <mergeCell ref="J421:J423"/>
    <mergeCell ref="M421:M423"/>
    <mergeCell ref="N421:N423"/>
    <mergeCell ref="O419:O420"/>
    <mergeCell ref="M425:M426"/>
    <mergeCell ref="N425:N426"/>
    <mergeCell ref="O421:O423"/>
    <mergeCell ref="B425:B426"/>
    <mergeCell ref="C425:C426"/>
    <mergeCell ref="D425:D426"/>
    <mergeCell ref="E425:E426"/>
    <mergeCell ref="F425:F426"/>
    <mergeCell ref="G425:G426"/>
    <mergeCell ref="H425:H426"/>
    <mergeCell ref="G433:G436"/>
    <mergeCell ref="H433:H436"/>
    <mergeCell ref="J433:J436"/>
    <mergeCell ref="K433:K436"/>
    <mergeCell ref="K425:K426"/>
    <mergeCell ref="L425:L426"/>
    <mergeCell ref="I425:I426"/>
    <mergeCell ref="J425:J426"/>
    <mergeCell ref="L433:L436"/>
    <mergeCell ref="M433:M436"/>
    <mergeCell ref="N433:N436"/>
    <mergeCell ref="O433:O436"/>
    <mergeCell ref="O425:O426"/>
    <mergeCell ref="A433:A436"/>
    <mergeCell ref="B433:B436"/>
    <mergeCell ref="D433:D436"/>
    <mergeCell ref="E433:E436"/>
    <mergeCell ref="F433:F436"/>
    <mergeCell ref="G442:G443"/>
    <mergeCell ref="H442:H443"/>
    <mergeCell ref="A439:A441"/>
    <mergeCell ref="B439:B441"/>
    <mergeCell ref="D439:D441"/>
    <mergeCell ref="J439:J441"/>
    <mergeCell ref="F439:F441"/>
    <mergeCell ref="E439:E441"/>
    <mergeCell ref="A442:A443"/>
    <mergeCell ref="B442:B443"/>
    <mergeCell ref="C442:C443"/>
    <mergeCell ref="D442:D443"/>
    <mergeCell ref="E442:E443"/>
    <mergeCell ref="F442:F443"/>
    <mergeCell ref="J442:J443"/>
    <mergeCell ref="K442:K443"/>
    <mergeCell ref="L442:L443"/>
    <mergeCell ref="M442:M443"/>
    <mergeCell ref="N439:N441"/>
    <mergeCell ref="O439:O441"/>
    <mergeCell ref="K439:K441"/>
    <mergeCell ref="L439:L441"/>
    <mergeCell ref="M439:M441"/>
    <mergeCell ref="N442:N443"/>
    <mergeCell ref="O442:O443"/>
    <mergeCell ref="A444:A445"/>
    <mergeCell ref="C444:C445"/>
    <mergeCell ref="D444:D445"/>
    <mergeCell ref="E444:E445"/>
    <mergeCell ref="F444:F445"/>
    <mergeCell ref="G444:G445"/>
    <mergeCell ref="H444:H445"/>
    <mergeCell ref="I444:I445"/>
    <mergeCell ref="G446:G447"/>
    <mergeCell ref="H446:H447"/>
    <mergeCell ref="J444:J445"/>
    <mergeCell ref="K444:K445"/>
    <mergeCell ref="L444:L445"/>
    <mergeCell ref="M444:M445"/>
    <mergeCell ref="A446:A447"/>
    <mergeCell ref="B446:B447"/>
    <mergeCell ref="C446:C447"/>
    <mergeCell ref="D446:D447"/>
    <mergeCell ref="E446:E447"/>
    <mergeCell ref="F446:F447"/>
    <mergeCell ref="J446:J447"/>
    <mergeCell ref="K446:K447"/>
    <mergeCell ref="L446:L447"/>
    <mergeCell ref="M446:M447"/>
    <mergeCell ref="N444:N445"/>
    <mergeCell ref="O444:O445"/>
    <mergeCell ref="N446:N447"/>
    <mergeCell ref="O446:O447"/>
    <mergeCell ref="B451:B452"/>
    <mergeCell ref="C451:C452"/>
    <mergeCell ref="D451:D452"/>
    <mergeCell ref="E451:E452"/>
    <mergeCell ref="F451:F452"/>
    <mergeCell ref="G451:G452"/>
    <mergeCell ref="H451:H452"/>
    <mergeCell ref="I451:I452"/>
    <mergeCell ref="H454:H455"/>
    <mergeCell ref="I454:I455"/>
    <mergeCell ref="J451:J452"/>
    <mergeCell ref="K451:K452"/>
    <mergeCell ref="L451:L452"/>
    <mergeCell ref="M451:M452"/>
    <mergeCell ref="B454:B455"/>
    <mergeCell ref="C454:C455"/>
    <mergeCell ref="D454:D455"/>
    <mergeCell ref="E454:E455"/>
    <mergeCell ref="F454:F455"/>
    <mergeCell ref="G454:G455"/>
    <mergeCell ref="J454:J455"/>
    <mergeCell ref="K454:K455"/>
    <mergeCell ref="L454:L455"/>
    <mergeCell ref="M454:M455"/>
    <mergeCell ref="N451:N452"/>
    <mergeCell ref="O451:O452"/>
    <mergeCell ref="N454:N455"/>
    <mergeCell ref="O454:O455"/>
    <mergeCell ref="B457:B458"/>
    <mergeCell ref="C457:C458"/>
    <mergeCell ref="D457:D458"/>
    <mergeCell ref="E457:E458"/>
    <mergeCell ref="F457:F458"/>
    <mergeCell ref="G457:G458"/>
    <mergeCell ref="H457:H458"/>
    <mergeCell ref="I457:I458"/>
    <mergeCell ref="N488:N489"/>
    <mergeCell ref="O488:O489"/>
    <mergeCell ref="N490:N491"/>
    <mergeCell ref="O490:O491"/>
    <mergeCell ref="J457:J458"/>
    <mergeCell ref="K457:K458"/>
    <mergeCell ref="L457:L458"/>
    <mergeCell ref="M457:M458"/>
    <mergeCell ref="N486:N487"/>
    <mergeCell ref="O486:O487"/>
    <mergeCell ref="N481:N482"/>
    <mergeCell ref="O481:O482"/>
    <mergeCell ref="N484:N485"/>
    <mergeCell ref="O484:O485"/>
    <mergeCell ref="A461:A462"/>
    <mergeCell ref="B461:B462"/>
    <mergeCell ref="C461:C462"/>
    <mergeCell ref="D461:D462"/>
    <mergeCell ref="N457:N458"/>
    <mergeCell ref="O457:O458"/>
    <mergeCell ref="O461:O462"/>
    <mergeCell ref="A465:A466"/>
    <mergeCell ref="C465:C466"/>
    <mergeCell ref="D465:D466"/>
    <mergeCell ref="E465:E466"/>
    <mergeCell ref="F465:F466"/>
    <mergeCell ref="G465:G466"/>
    <mergeCell ref="H465:H466"/>
    <mergeCell ref="H461:H462"/>
    <mergeCell ref="J461:J462"/>
    <mergeCell ref="I465:I466"/>
    <mergeCell ref="J465:J466"/>
    <mergeCell ref="K465:K466"/>
    <mergeCell ref="L465:L466"/>
    <mergeCell ref="M461:M462"/>
    <mergeCell ref="N461:N462"/>
    <mergeCell ref="K461:K462"/>
    <mergeCell ref="L461:L462"/>
    <mergeCell ref="M465:M466"/>
    <mergeCell ref="N465:N466"/>
    <mergeCell ref="O465:O466"/>
    <mergeCell ref="A467:A469"/>
    <mergeCell ref="B467:B469"/>
    <mergeCell ref="C467:C469"/>
    <mergeCell ref="D467:D469"/>
    <mergeCell ref="E467:E469"/>
    <mergeCell ref="F467:F469"/>
    <mergeCell ref="G467:G469"/>
    <mergeCell ref="O467:O469"/>
    <mergeCell ref="B471:B472"/>
    <mergeCell ref="C471:C472"/>
    <mergeCell ref="D471:D472"/>
    <mergeCell ref="E471:E472"/>
    <mergeCell ref="F471:F472"/>
    <mergeCell ref="G471:G472"/>
    <mergeCell ref="H471:H472"/>
    <mergeCell ref="H467:H469"/>
    <mergeCell ref="I467:I469"/>
    <mergeCell ref="I471:I472"/>
    <mergeCell ref="J471:J472"/>
    <mergeCell ref="K471:K472"/>
    <mergeCell ref="L471:L472"/>
    <mergeCell ref="M467:M469"/>
    <mergeCell ref="N467:N469"/>
    <mergeCell ref="J467:J469"/>
    <mergeCell ref="L467:L469"/>
    <mergeCell ref="M471:M472"/>
    <mergeCell ref="N471:N472"/>
    <mergeCell ref="O471:O472"/>
    <mergeCell ref="B473:B474"/>
    <mergeCell ref="C473:C474"/>
    <mergeCell ref="D473:D474"/>
    <mergeCell ref="E473:E474"/>
    <mergeCell ref="F473:F474"/>
    <mergeCell ref="G473:G474"/>
    <mergeCell ref="H473:H474"/>
    <mergeCell ref="M473:M474"/>
    <mergeCell ref="N473:N474"/>
    <mergeCell ref="O473:O474"/>
    <mergeCell ref="N479:N480"/>
    <mergeCell ref="O479:O480"/>
    <mergeCell ref="I473:I474"/>
    <mergeCell ref="J473:J474"/>
    <mergeCell ref="K473:K474"/>
    <mergeCell ref="L473:L474"/>
    <mergeCell ref="L479:L480"/>
    <mergeCell ref="M479:M480"/>
    <mergeCell ref="E479:E480"/>
    <mergeCell ref="F479:F480"/>
    <mergeCell ref="G479:G480"/>
    <mergeCell ref="H479:H480"/>
    <mergeCell ref="A481:A482"/>
    <mergeCell ref="B481:B482"/>
    <mergeCell ref="C481:C482"/>
    <mergeCell ref="D481:D482"/>
    <mergeCell ref="J479:J480"/>
    <mergeCell ref="K479:K480"/>
    <mergeCell ref="A479:A480"/>
    <mergeCell ref="B479:B480"/>
    <mergeCell ref="C479:C480"/>
    <mergeCell ref="D479:D480"/>
    <mergeCell ref="J481:J482"/>
    <mergeCell ref="K481:K482"/>
    <mergeCell ref="L481:L482"/>
    <mergeCell ref="M481:M482"/>
    <mergeCell ref="E481:E482"/>
    <mergeCell ref="F481:F482"/>
    <mergeCell ref="G481:G482"/>
    <mergeCell ref="H481:H482"/>
    <mergeCell ref="L484:L485"/>
    <mergeCell ref="M484:M485"/>
    <mergeCell ref="G484:G485"/>
    <mergeCell ref="H484:H485"/>
    <mergeCell ref="A484:A485"/>
    <mergeCell ref="B484:B485"/>
    <mergeCell ref="C484:C485"/>
    <mergeCell ref="D484:D485"/>
    <mergeCell ref="A486:A487"/>
    <mergeCell ref="B486:B487"/>
    <mergeCell ref="C486:C487"/>
    <mergeCell ref="D486:D487"/>
    <mergeCell ref="J484:J485"/>
    <mergeCell ref="K484:K485"/>
    <mergeCell ref="J486:J487"/>
    <mergeCell ref="K486:K487"/>
    <mergeCell ref="L486:L487"/>
    <mergeCell ref="M486:M487"/>
    <mergeCell ref="G486:G487"/>
    <mergeCell ref="H486:H487"/>
    <mergeCell ref="J488:J489"/>
    <mergeCell ref="K488:K489"/>
    <mergeCell ref="L488:L489"/>
    <mergeCell ref="M488:M489"/>
    <mergeCell ref="H488:H489"/>
    <mergeCell ref="A488:A489"/>
    <mergeCell ref="B488:B489"/>
    <mergeCell ref="C488:C489"/>
    <mergeCell ref="D488:D489"/>
    <mergeCell ref="G488:G489"/>
    <mergeCell ref="H490:H491"/>
    <mergeCell ref="A490:A491"/>
    <mergeCell ref="B490:B491"/>
    <mergeCell ref="C490:C491"/>
    <mergeCell ref="D490:D491"/>
    <mergeCell ref="G490:G491"/>
    <mergeCell ref="L493:L494"/>
    <mergeCell ref="M493:M494"/>
    <mergeCell ref="J490:J491"/>
    <mergeCell ref="K490:K491"/>
    <mergeCell ref="L490:L491"/>
    <mergeCell ref="M490:M491"/>
    <mergeCell ref="A493:A494"/>
    <mergeCell ref="C493:C494"/>
    <mergeCell ref="D493:D494"/>
    <mergeCell ref="I493:I494"/>
    <mergeCell ref="J493:J494"/>
    <mergeCell ref="K493:K494"/>
    <mergeCell ref="N493:N494"/>
    <mergeCell ref="O493:O494"/>
    <mergeCell ref="A495:A496"/>
    <mergeCell ref="B495:B496"/>
    <mergeCell ref="C495:C496"/>
    <mergeCell ref="D495:D496"/>
    <mergeCell ref="E495:E496"/>
    <mergeCell ref="F495:F496"/>
    <mergeCell ref="G495:G496"/>
    <mergeCell ref="H495:H496"/>
    <mergeCell ref="O495:O496"/>
    <mergeCell ref="A497:A498"/>
    <mergeCell ref="B497:B498"/>
    <mergeCell ref="C497:C498"/>
    <mergeCell ref="D497:D498"/>
    <mergeCell ref="E497:E498"/>
    <mergeCell ref="F497:F498"/>
    <mergeCell ref="G497:G498"/>
    <mergeCell ref="H497:H498"/>
    <mergeCell ref="J495:J496"/>
    <mergeCell ref="I497:I498"/>
    <mergeCell ref="J497:J498"/>
    <mergeCell ref="K497:K498"/>
    <mergeCell ref="L497:L498"/>
    <mergeCell ref="N495:N496"/>
    <mergeCell ref="K495:K496"/>
    <mergeCell ref="L495:L496"/>
    <mergeCell ref="M495:M496"/>
    <mergeCell ref="M500:M501"/>
    <mergeCell ref="M497:M498"/>
    <mergeCell ref="O497:O498"/>
    <mergeCell ref="A500:A501"/>
    <mergeCell ref="B500:B501"/>
    <mergeCell ref="C500:C501"/>
    <mergeCell ref="D500:D501"/>
    <mergeCell ref="E500:E501"/>
    <mergeCell ref="F500:F501"/>
    <mergeCell ref="G500:G501"/>
    <mergeCell ref="G503:G504"/>
    <mergeCell ref="H503:H504"/>
    <mergeCell ref="J503:J504"/>
    <mergeCell ref="J500:J501"/>
    <mergeCell ref="K500:K501"/>
    <mergeCell ref="L500:L501"/>
    <mergeCell ref="H500:H501"/>
    <mergeCell ref="M503:M504"/>
    <mergeCell ref="N506:N507"/>
    <mergeCell ref="N503:N504"/>
    <mergeCell ref="N500:N501"/>
    <mergeCell ref="O500:O501"/>
    <mergeCell ref="B503:B504"/>
    <mergeCell ref="C503:C504"/>
    <mergeCell ref="D503:D504"/>
    <mergeCell ref="E503:E504"/>
    <mergeCell ref="F503:F504"/>
    <mergeCell ref="O503:O504"/>
    <mergeCell ref="B506:B507"/>
    <mergeCell ref="C506:C507"/>
    <mergeCell ref="D506:D507"/>
    <mergeCell ref="E506:E507"/>
    <mergeCell ref="F506:F507"/>
    <mergeCell ref="G506:G507"/>
    <mergeCell ref="H506:H507"/>
    <mergeCell ref="K503:K504"/>
    <mergeCell ref="L503:L504"/>
    <mergeCell ref="A508:A509"/>
    <mergeCell ref="B508:B509"/>
    <mergeCell ref="C508:C509"/>
    <mergeCell ref="D508:D509"/>
    <mergeCell ref="L506:L507"/>
    <mergeCell ref="M506:M507"/>
    <mergeCell ref="J506:J507"/>
    <mergeCell ref="K508:K509"/>
    <mergeCell ref="L508:L509"/>
    <mergeCell ref="M508:M509"/>
    <mergeCell ref="O506:O507"/>
    <mergeCell ref="E508:E509"/>
    <mergeCell ref="F508:F509"/>
    <mergeCell ref="G508:G509"/>
    <mergeCell ref="H508:H509"/>
    <mergeCell ref="J508:J509"/>
    <mergeCell ref="K506:K507"/>
    <mergeCell ref="L512:L513"/>
    <mergeCell ref="M512:M513"/>
    <mergeCell ref="N512:N513"/>
    <mergeCell ref="O512:O513"/>
    <mergeCell ref="B515:B516"/>
    <mergeCell ref="N508:N509"/>
    <mergeCell ref="O508:O509"/>
    <mergeCell ref="K512:K513"/>
    <mergeCell ref="J512:J513"/>
    <mergeCell ref="H512:H513"/>
    <mergeCell ref="G512:G513"/>
    <mergeCell ref="F512:F513"/>
    <mergeCell ref="E512:E513"/>
    <mergeCell ref="C515:C516"/>
    <mergeCell ref="D515:D516"/>
    <mergeCell ref="E515:E516"/>
    <mergeCell ref="F515:F516"/>
    <mergeCell ref="B512:B513"/>
    <mergeCell ref="C512:C513"/>
    <mergeCell ref="D512:D513"/>
    <mergeCell ref="K515:K516"/>
    <mergeCell ref="L515:L516"/>
    <mergeCell ref="M515:M516"/>
    <mergeCell ref="N515:N516"/>
    <mergeCell ref="G515:G516"/>
    <mergeCell ref="H515:H516"/>
    <mergeCell ref="I515:I516"/>
    <mergeCell ref="J515:J516"/>
    <mergeCell ref="O515:O516"/>
    <mergeCell ref="B517:B518"/>
    <mergeCell ref="C517:C518"/>
    <mergeCell ref="D517:D518"/>
    <mergeCell ref="E517:E518"/>
    <mergeCell ref="F517:F518"/>
    <mergeCell ref="G517:G518"/>
    <mergeCell ref="H517:H518"/>
    <mergeCell ref="I517:I518"/>
    <mergeCell ref="J517:J518"/>
    <mergeCell ref="O517:O518"/>
    <mergeCell ref="K517:K518"/>
    <mergeCell ref="L517:L518"/>
    <mergeCell ref="M517:M518"/>
    <mergeCell ref="N517:N518"/>
    <mergeCell ref="A519:A521"/>
    <mergeCell ref="B519:B521"/>
    <mergeCell ref="D519:D521"/>
    <mergeCell ref="E519:E521"/>
    <mergeCell ref="G519:G521"/>
    <mergeCell ref="E524:E525"/>
    <mergeCell ref="J524:J525"/>
    <mergeCell ref="O519:O521"/>
    <mergeCell ref="K519:K521"/>
    <mergeCell ref="L519:L521"/>
    <mergeCell ref="M519:M521"/>
    <mergeCell ref="N519:N521"/>
    <mergeCell ref="H519:H521"/>
    <mergeCell ref="I519:I521"/>
    <mergeCell ref="J519:J521"/>
    <mergeCell ref="H526:H527"/>
    <mergeCell ref="I526:I527"/>
    <mergeCell ref="K524:K525"/>
    <mergeCell ref="L524:L525"/>
    <mergeCell ref="M524:M525"/>
    <mergeCell ref="B524:B525"/>
    <mergeCell ref="C524:C525"/>
    <mergeCell ref="D524:D525"/>
    <mergeCell ref="G524:G525"/>
    <mergeCell ref="F524:F525"/>
    <mergeCell ref="B526:B527"/>
    <mergeCell ref="C526:C527"/>
    <mergeCell ref="D526:D527"/>
    <mergeCell ref="E526:E527"/>
    <mergeCell ref="F526:F527"/>
    <mergeCell ref="G526:G527"/>
    <mergeCell ref="J526:J527"/>
    <mergeCell ref="K526:K527"/>
    <mergeCell ref="L526:L527"/>
    <mergeCell ref="M526:M527"/>
    <mergeCell ref="N524:N525"/>
    <mergeCell ref="O524:O525"/>
    <mergeCell ref="N526:N527"/>
    <mergeCell ref="O526:O527"/>
    <mergeCell ref="B528:B529"/>
    <mergeCell ref="C528:C529"/>
    <mergeCell ref="D528:D529"/>
    <mergeCell ref="E528:E529"/>
    <mergeCell ref="F528:F529"/>
    <mergeCell ref="G528:G529"/>
    <mergeCell ref="H528:H529"/>
    <mergeCell ref="I528:I529"/>
    <mergeCell ref="H531:H532"/>
    <mergeCell ref="I531:I532"/>
    <mergeCell ref="J528:J529"/>
    <mergeCell ref="K528:K529"/>
    <mergeCell ref="L528:L529"/>
    <mergeCell ref="M528:M529"/>
    <mergeCell ref="A531:A532"/>
    <mergeCell ref="C531:C532"/>
    <mergeCell ref="D531:D532"/>
    <mergeCell ref="E531:E532"/>
    <mergeCell ref="F531:F532"/>
    <mergeCell ref="G531:G532"/>
    <mergeCell ref="J531:J532"/>
    <mergeCell ref="K531:K532"/>
    <mergeCell ref="L531:L532"/>
    <mergeCell ref="M531:M532"/>
    <mergeCell ref="N528:N529"/>
    <mergeCell ref="O528:O529"/>
    <mergeCell ref="N531:N532"/>
    <mergeCell ref="O531:O532"/>
    <mergeCell ref="A534:A535"/>
    <mergeCell ref="B534:B535"/>
    <mergeCell ref="C534:C535"/>
    <mergeCell ref="D534:D535"/>
    <mergeCell ref="E534:E535"/>
    <mergeCell ref="F534:F535"/>
    <mergeCell ref="G534:G535"/>
    <mergeCell ref="H534:H535"/>
    <mergeCell ref="N534:N535"/>
    <mergeCell ref="O534:O535"/>
    <mergeCell ref="J534:J535"/>
    <mergeCell ref="K534:K535"/>
    <mergeCell ref="L534:L535"/>
    <mergeCell ref="M534:M535"/>
    <mergeCell ref="H539:H540"/>
    <mergeCell ref="J539:J540"/>
    <mergeCell ref="K539:K540"/>
    <mergeCell ref="L539:L540"/>
    <mergeCell ref="A539:A540"/>
    <mergeCell ref="B539:B540"/>
    <mergeCell ref="C539:C540"/>
    <mergeCell ref="D539:D540"/>
    <mergeCell ref="M539:M540"/>
    <mergeCell ref="N539:N540"/>
    <mergeCell ref="O539:O540"/>
    <mergeCell ref="A542:A543"/>
    <mergeCell ref="B542:B543"/>
    <mergeCell ref="C542:C543"/>
    <mergeCell ref="D542:D543"/>
    <mergeCell ref="E542:E543"/>
    <mergeCell ref="F542:F543"/>
    <mergeCell ref="G542:G543"/>
    <mergeCell ref="O542:O543"/>
    <mergeCell ref="B544:B545"/>
    <mergeCell ref="C544:C545"/>
    <mergeCell ref="D544:D545"/>
    <mergeCell ref="E544:E545"/>
    <mergeCell ref="F544:F545"/>
    <mergeCell ref="G544:G545"/>
    <mergeCell ref="H544:H545"/>
    <mergeCell ref="H542:H543"/>
    <mergeCell ref="J542:J543"/>
    <mergeCell ref="I544:I545"/>
    <mergeCell ref="J544:J545"/>
    <mergeCell ref="K544:K545"/>
    <mergeCell ref="L544:L545"/>
    <mergeCell ref="M542:M543"/>
    <mergeCell ref="N542:N543"/>
    <mergeCell ref="K542:K543"/>
    <mergeCell ref="L542:L543"/>
    <mergeCell ref="M544:M545"/>
    <mergeCell ref="N544:N545"/>
    <mergeCell ref="O544:O545"/>
    <mergeCell ref="A548:A549"/>
    <mergeCell ref="C548:C549"/>
    <mergeCell ref="D548:D549"/>
    <mergeCell ref="E548:E549"/>
    <mergeCell ref="F548:F549"/>
    <mergeCell ref="G548:G549"/>
    <mergeCell ref="H548:H549"/>
    <mergeCell ref="M548:M549"/>
    <mergeCell ref="N548:N549"/>
    <mergeCell ref="O548:O549"/>
    <mergeCell ref="I548:I549"/>
    <mergeCell ref="J548:J549"/>
    <mergeCell ref="K548:K549"/>
    <mergeCell ref="L548:L549"/>
    <mergeCell ref="E558:E559"/>
    <mergeCell ref="F558:F559"/>
    <mergeCell ref="G558:G559"/>
    <mergeCell ref="H558:H559"/>
    <mergeCell ref="A558:A559"/>
    <mergeCell ref="B558:B559"/>
    <mergeCell ref="C558:C559"/>
    <mergeCell ref="D558:D559"/>
    <mergeCell ref="A571:A572"/>
    <mergeCell ref="B571:B572"/>
    <mergeCell ref="C571:C572"/>
    <mergeCell ref="D571:D572"/>
    <mergeCell ref="N558:N559"/>
    <mergeCell ref="O558:O559"/>
    <mergeCell ref="J558:J559"/>
    <mergeCell ref="K558:K559"/>
    <mergeCell ref="L558:L559"/>
    <mergeCell ref="M558:M559"/>
    <mergeCell ref="O571:O572"/>
    <mergeCell ref="A573:A574"/>
    <mergeCell ref="B573:B574"/>
    <mergeCell ref="C573:C574"/>
    <mergeCell ref="D573:D574"/>
    <mergeCell ref="E573:E574"/>
    <mergeCell ref="F573:F574"/>
    <mergeCell ref="G573:G574"/>
    <mergeCell ref="H571:H572"/>
    <mergeCell ref="J571:J572"/>
    <mergeCell ref="H573:H574"/>
    <mergeCell ref="J573:J574"/>
    <mergeCell ref="K573:K574"/>
    <mergeCell ref="L573:L574"/>
    <mergeCell ref="M571:M572"/>
    <mergeCell ref="N571:N572"/>
    <mergeCell ref="K571:K572"/>
    <mergeCell ref="L571:L572"/>
    <mergeCell ref="M573:M574"/>
    <mergeCell ref="N573:N574"/>
    <mergeCell ref="O573:O574"/>
    <mergeCell ref="A575:A576"/>
    <mergeCell ref="B575:B576"/>
    <mergeCell ref="C575:C576"/>
    <mergeCell ref="D575:D576"/>
    <mergeCell ref="E575:E576"/>
    <mergeCell ref="F575:F576"/>
    <mergeCell ref="G575:G576"/>
    <mergeCell ref="O575:O576"/>
    <mergeCell ref="A578:A579"/>
    <mergeCell ref="B578:B579"/>
    <mergeCell ref="C578:C579"/>
    <mergeCell ref="D578:D579"/>
    <mergeCell ref="E578:E579"/>
    <mergeCell ref="F578:F579"/>
    <mergeCell ref="G578:G579"/>
    <mergeCell ref="H575:H576"/>
    <mergeCell ref="J575:J576"/>
    <mergeCell ref="H578:H579"/>
    <mergeCell ref="J578:J579"/>
    <mergeCell ref="K578:K579"/>
    <mergeCell ref="L578:L579"/>
    <mergeCell ref="M575:M576"/>
    <mergeCell ref="N575:N576"/>
    <mergeCell ref="K575:K576"/>
    <mergeCell ref="L575:L576"/>
    <mergeCell ref="M578:M579"/>
    <mergeCell ref="N578:N579"/>
    <mergeCell ref="O578:O579"/>
    <mergeCell ref="A581:A582"/>
    <mergeCell ref="B581:B582"/>
    <mergeCell ref="C581:C582"/>
    <mergeCell ref="D581:D582"/>
    <mergeCell ref="E581:E582"/>
    <mergeCell ref="F581:F582"/>
    <mergeCell ref="G581:G582"/>
    <mergeCell ref="M581:M582"/>
    <mergeCell ref="N581:N582"/>
    <mergeCell ref="O581:O582"/>
    <mergeCell ref="H581:H582"/>
    <mergeCell ref="J581:J582"/>
    <mergeCell ref="K581:K582"/>
    <mergeCell ref="L581:L582"/>
    <mergeCell ref="J585:J586"/>
    <mergeCell ref="L585:L586"/>
    <mergeCell ref="M585:M586"/>
    <mergeCell ref="N585:N586"/>
    <mergeCell ref="H585:H586"/>
    <mergeCell ref="A585:A586"/>
    <mergeCell ref="B585:B586"/>
    <mergeCell ref="C585:C586"/>
    <mergeCell ref="D585:D586"/>
    <mergeCell ref="M587:M588"/>
    <mergeCell ref="N587:N588"/>
    <mergeCell ref="O585:O586"/>
    <mergeCell ref="A587:A588"/>
    <mergeCell ref="B587:B588"/>
    <mergeCell ref="C587:C588"/>
    <mergeCell ref="D587:D588"/>
    <mergeCell ref="E587:E588"/>
    <mergeCell ref="F587:F588"/>
    <mergeCell ref="G587:G588"/>
    <mergeCell ref="G589:G591"/>
    <mergeCell ref="H589:H591"/>
    <mergeCell ref="I589:I591"/>
    <mergeCell ref="J589:J591"/>
    <mergeCell ref="K587:K588"/>
    <mergeCell ref="L587:L588"/>
    <mergeCell ref="H587:H588"/>
    <mergeCell ref="J587:J588"/>
    <mergeCell ref="K589:K591"/>
    <mergeCell ref="L589:L591"/>
    <mergeCell ref="M589:M591"/>
    <mergeCell ref="N589:N591"/>
    <mergeCell ref="O587:O588"/>
    <mergeCell ref="B589:B591"/>
    <mergeCell ref="C589:C591"/>
    <mergeCell ref="D589:D591"/>
    <mergeCell ref="E589:E591"/>
    <mergeCell ref="F589:F591"/>
    <mergeCell ref="M592:M593"/>
    <mergeCell ref="N592:N593"/>
    <mergeCell ref="O589:O591"/>
    <mergeCell ref="A592:A593"/>
    <mergeCell ref="B592:B593"/>
    <mergeCell ref="C592:C593"/>
    <mergeCell ref="D592:D593"/>
    <mergeCell ref="E592:E593"/>
    <mergeCell ref="F592:F593"/>
    <mergeCell ref="G592:G593"/>
    <mergeCell ref="G595:G597"/>
    <mergeCell ref="H595:H597"/>
    <mergeCell ref="I595:I597"/>
    <mergeCell ref="J595:J597"/>
    <mergeCell ref="K592:K593"/>
    <mergeCell ref="L592:L593"/>
    <mergeCell ref="H592:H593"/>
    <mergeCell ref="J592:J593"/>
    <mergeCell ref="K595:K597"/>
    <mergeCell ref="L595:L597"/>
    <mergeCell ref="M595:M597"/>
    <mergeCell ref="N595:N597"/>
    <mergeCell ref="O592:O593"/>
    <mergeCell ref="B595:B597"/>
    <mergeCell ref="C595:C597"/>
    <mergeCell ref="D595:D597"/>
    <mergeCell ref="E595:E597"/>
    <mergeCell ref="F595:F597"/>
    <mergeCell ref="O595:O597"/>
    <mergeCell ref="A601:A602"/>
    <mergeCell ref="B601:B602"/>
    <mergeCell ref="C601:C602"/>
    <mergeCell ref="D601:D602"/>
    <mergeCell ref="E601:E602"/>
    <mergeCell ref="F601:F602"/>
    <mergeCell ref="G601:G602"/>
    <mergeCell ref="H601:H602"/>
    <mergeCell ref="J601:J602"/>
    <mergeCell ref="A603:A604"/>
    <mergeCell ref="B603:B604"/>
    <mergeCell ref="C603:C604"/>
    <mergeCell ref="D603:D604"/>
    <mergeCell ref="O601:O602"/>
    <mergeCell ref="K601:K602"/>
    <mergeCell ref="L601:L602"/>
    <mergeCell ref="M601:M602"/>
    <mergeCell ref="N601:N602"/>
    <mergeCell ref="G605:G606"/>
    <mergeCell ref="H605:H606"/>
    <mergeCell ref="J603:J604"/>
    <mergeCell ref="K603:K604"/>
    <mergeCell ref="L603:L604"/>
    <mergeCell ref="M603:M604"/>
    <mergeCell ref="A605:A606"/>
    <mergeCell ref="B605:B606"/>
    <mergeCell ref="C605:C606"/>
    <mergeCell ref="D605:D606"/>
    <mergeCell ref="E605:E606"/>
    <mergeCell ref="F605:F606"/>
    <mergeCell ref="J605:J606"/>
    <mergeCell ref="K605:K606"/>
    <mergeCell ref="L605:L606"/>
    <mergeCell ref="M605:M606"/>
    <mergeCell ref="N603:N604"/>
    <mergeCell ref="O603:O604"/>
    <mergeCell ref="N605:N606"/>
    <mergeCell ref="O605:O606"/>
    <mergeCell ref="A607:A608"/>
    <mergeCell ref="B607:B608"/>
    <mergeCell ref="C607:C608"/>
    <mergeCell ref="D607:D608"/>
    <mergeCell ref="E607:E608"/>
    <mergeCell ref="F607:F608"/>
    <mergeCell ref="G607:G608"/>
    <mergeCell ref="H607:H608"/>
    <mergeCell ref="H609:H610"/>
    <mergeCell ref="I609:I610"/>
    <mergeCell ref="J607:J608"/>
    <mergeCell ref="K607:K608"/>
    <mergeCell ref="L607:L608"/>
    <mergeCell ref="M607:M608"/>
    <mergeCell ref="A609:A610"/>
    <mergeCell ref="C609:C610"/>
    <mergeCell ref="D609:D610"/>
    <mergeCell ref="E609:E610"/>
    <mergeCell ref="F609:F610"/>
    <mergeCell ref="G609:G610"/>
    <mergeCell ref="J609:J610"/>
    <mergeCell ref="K609:K610"/>
    <mergeCell ref="L609:L610"/>
    <mergeCell ref="M609:M610"/>
    <mergeCell ref="N607:N608"/>
    <mergeCell ref="O607:O608"/>
    <mergeCell ref="N609:N610"/>
    <mergeCell ref="O609:O610"/>
    <mergeCell ref="A614:A615"/>
    <mergeCell ref="B614:B615"/>
    <mergeCell ref="C614:C615"/>
    <mergeCell ref="D614:D615"/>
    <mergeCell ref="E614:E615"/>
    <mergeCell ref="F614:F615"/>
    <mergeCell ref="G614:G615"/>
    <mergeCell ref="H614:H615"/>
    <mergeCell ref="G617:G618"/>
    <mergeCell ref="H617:H618"/>
    <mergeCell ref="J614:J615"/>
    <mergeCell ref="K614:K615"/>
    <mergeCell ref="L614:L615"/>
    <mergeCell ref="M614:M615"/>
    <mergeCell ref="L619:L620"/>
    <mergeCell ref="M619:M620"/>
    <mergeCell ref="N614:N615"/>
    <mergeCell ref="O614:O615"/>
    <mergeCell ref="A617:A618"/>
    <mergeCell ref="B617:B618"/>
    <mergeCell ref="C617:C618"/>
    <mergeCell ref="D617:D618"/>
    <mergeCell ref="E617:E618"/>
    <mergeCell ref="F617:F618"/>
    <mergeCell ref="G619:G620"/>
    <mergeCell ref="F619:F620"/>
    <mergeCell ref="O619:O620"/>
    <mergeCell ref="N617:N618"/>
    <mergeCell ref="O617:O618"/>
    <mergeCell ref="J617:J618"/>
    <mergeCell ref="K617:K618"/>
    <mergeCell ref="L617:L618"/>
    <mergeCell ref="M617:M618"/>
    <mergeCell ref="K619:K620"/>
    <mergeCell ref="A621:A622"/>
    <mergeCell ref="C621:C622"/>
    <mergeCell ref="D621:D622"/>
    <mergeCell ref="E621:E622"/>
    <mergeCell ref="N619:N620"/>
    <mergeCell ref="A619:A620"/>
    <mergeCell ref="C619:C620"/>
    <mergeCell ref="D619:D620"/>
    <mergeCell ref="J619:J620"/>
    <mergeCell ref="H619:H620"/>
    <mergeCell ref="M621:M622"/>
    <mergeCell ref="N621:N622"/>
    <mergeCell ref="F621:F622"/>
    <mergeCell ref="G621:G622"/>
    <mergeCell ref="H621:H622"/>
    <mergeCell ref="J621:J622"/>
    <mergeCell ref="G624:G625"/>
    <mergeCell ref="H624:H625"/>
    <mergeCell ref="I624:I625"/>
    <mergeCell ref="J624:J625"/>
    <mergeCell ref="K621:K622"/>
    <mergeCell ref="L621:L622"/>
    <mergeCell ref="K624:K625"/>
    <mergeCell ref="L624:L625"/>
    <mergeCell ref="M624:M625"/>
    <mergeCell ref="N624:N625"/>
    <mergeCell ref="O621:O622"/>
    <mergeCell ref="A624:A625"/>
    <mergeCell ref="C624:C625"/>
    <mergeCell ref="D624:D625"/>
    <mergeCell ref="E624:E625"/>
    <mergeCell ref="F624:F625"/>
    <mergeCell ref="M626:M627"/>
    <mergeCell ref="N626:N627"/>
    <mergeCell ref="O624:O625"/>
    <mergeCell ref="A626:A627"/>
    <mergeCell ref="B626:B627"/>
    <mergeCell ref="C626:C627"/>
    <mergeCell ref="D626:D627"/>
    <mergeCell ref="E626:E627"/>
    <mergeCell ref="F626:F627"/>
    <mergeCell ref="G626:G627"/>
    <mergeCell ref="F628:F629"/>
    <mergeCell ref="G628:G629"/>
    <mergeCell ref="H628:H629"/>
    <mergeCell ref="J628:J629"/>
    <mergeCell ref="K626:K627"/>
    <mergeCell ref="L626:L627"/>
    <mergeCell ref="H626:H627"/>
    <mergeCell ref="J626:J627"/>
    <mergeCell ref="K628:K629"/>
    <mergeCell ref="L628:L629"/>
    <mergeCell ref="M628:M629"/>
    <mergeCell ref="N628:N629"/>
    <mergeCell ref="O626:O627"/>
    <mergeCell ref="A628:A629"/>
    <mergeCell ref="B628:B629"/>
    <mergeCell ref="C628:C629"/>
    <mergeCell ref="D628:D629"/>
    <mergeCell ref="E628:E629"/>
    <mergeCell ref="O628:O629"/>
    <mergeCell ref="A632:A633"/>
    <mergeCell ref="C632:C633"/>
    <mergeCell ref="D632:D633"/>
    <mergeCell ref="E632:E633"/>
    <mergeCell ref="F632:F633"/>
    <mergeCell ref="G632:G633"/>
    <mergeCell ref="H632:H633"/>
    <mergeCell ref="I632:I633"/>
    <mergeCell ref="J632:J633"/>
    <mergeCell ref="A635:A636"/>
    <mergeCell ref="B635:B636"/>
    <mergeCell ref="C635:C636"/>
    <mergeCell ref="D635:D636"/>
    <mergeCell ref="O632:O633"/>
    <mergeCell ref="K632:K633"/>
    <mergeCell ref="L632:L633"/>
    <mergeCell ref="M632:M633"/>
    <mergeCell ref="N632:N633"/>
    <mergeCell ref="G638:G639"/>
    <mergeCell ref="H638:H639"/>
    <mergeCell ref="J635:J636"/>
    <mergeCell ref="K635:K636"/>
    <mergeCell ref="L635:L636"/>
    <mergeCell ref="M635:M636"/>
    <mergeCell ref="A638:A639"/>
    <mergeCell ref="B638:B639"/>
    <mergeCell ref="C638:C639"/>
    <mergeCell ref="D638:D639"/>
    <mergeCell ref="E638:E639"/>
    <mergeCell ref="F638:F639"/>
    <mergeCell ref="J638:J639"/>
    <mergeCell ref="K638:K639"/>
    <mergeCell ref="L638:L639"/>
    <mergeCell ref="M638:M639"/>
    <mergeCell ref="N635:N636"/>
    <mergeCell ref="O635:O636"/>
    <mergeCell ref="N638:N639"/>
    <mergeCell ref="O638:O639"/>
    <mergeCell ref="A640:A641"/>
    <mergeCell ref="B640:B641"/>
    <mergeCell ref="C640:C641"/>
    <mergeCell ref="D640:D641"/>
    <mergeCell ref="E640:E641"/>
    <mergeCell ref="F640:F641"/>
    <mergeCell ref="G640:G641"/>
    <mergeCell ref="H640:H641"/>
    <mergeCell ref="H642:H643"/>
    <mergeCell ref="I642:I643"/>
    <mergeCell ref="J640:J641"/>
    <mergeCell ref="K640:K641"/>
    <mergeCell ref="L640:L641"/>
    <mergeCell ref="M640:M641"/>
    <mergeCell ref="A642:A643"/>
    <mergeCell ref="C642:C643"/>
    <mergeCell ref="D642:D643"/>
    <mergeCell ref="E642:E643"/>
    <mergeCell ref="F642:F643"/>
    <mergeCell ref="G642:G643"/>
    <mergeCell ref="J642:J643"/>
    <mergeCell ref="K642:K643"/>
    <mergeCell ref="L642:L643"/>
    <mergeCell ref="M642:M643"/>
    <mergeCell ref="N640:N641"/>
    <mergeCell ref="O640:O641"/>
    <mergeCell ref="N642:N643"/>
    <mergeCell ref="O642:O643"/>
    <mergeCell ref="A646:A647"/>
    <mergeCell ref="B646:B647"/>
    <mergeCell ref="C646:C647"/>
    <mergeCell ref="D646:D647"/>
    <mergeCell ref="E646:E647"/>
    <mergeCell ref="F646:F647"/>
    <mergeCell ref="G646:G647"/>
    <mergeCell ref="H646:H647"/>
    <mergeCell ref="M666:M667"/>
    <mergeCell ref="O646:O647"/>
    <mergeCell ref="J646:J647"/>
    <mergeCell ref="K646:K647"/>
    <mergeCell ref="L646:L647"/>
    <mergeCell ref="M646:M647"/>
    <mergeCell ref="F663:F664"/>
    <mergeCell ref="J663:J664"/>
    <mergeCell ref="E666:E667"/>
    <mergeCell ref="K663:K664"/>
    <mergeCell ref="N646:N647"/>
    <mergeCell ref="L663:L664"/>
    <mergeCell ref="M663:M664"/>
    <mergeCell ref="N663:N664"/>
    <mergeCell ref="N666:N667"/>
    <mergeCell ref="L666:L667"/>
    <mergeCell ref="A666:A667"/>
    <mergeCell ref="B666:B667"/>
    <mergeCell ref="C666:C667"/>
    <mergeCell ref="D666:D667"/>
    <mergeCell ref="A663:A664"/>
    <mergeCell ref="C663:C664"/>
    <mergeCell ref="D663:D664"/>
    <mergeCell ref="O663:O664"/>
    <mergeCell ref="O666:O667"/>
    <mergeCell ref="F666:F667"/>
    <mergeCell ref="G666:G667"/>
    <mergeCell ref="H666:H667"/>
    <mergeCell ref="J666:J667"/>
    <mergeCell ref="G663:G664"/>
    <mergeCell ref="H663:H664"/>
    <mergeCell ref="I663:I664"/>
    <mergeCell ref="K666:K667"/>
    <mergeCell ref="N672:N673"/>
    <mergeCell ref="F669:F670"/>
    <mergeCell ref="G669:G670"/>
    <mergeCell ref="H669:H670"/>
    <mergeCell ref="I669:I670"/>
    <mergeCell ref="B669:B670"/>
    <mergeCell ref="C669:C670"/>
    <mergeCell ref="D669:D670"/>
    <mergeCell ref="E669:E670"/>
    <mergeCell ref="J669:J670"/>
    <mergeCell ref="K669:K670"/>
    <mergeCell ref="L669:L670"/>
    <mergeCell ref="M669:M670"/>
    <mergeCell ref="O672:O673"/>
    <mergeCell ref="N669:N670"/>
    <mergeCell ref="O669:O670"/>
    <mergeCell ref="K672:K673"/>
    <mergeCell ref="L672:L673"/>
    <mergeCell ref="M672:M673"/>
    <mergeCell ref="G674:G675"/>
    <mergeCell ref="H674:H675"/>
    <mergeCell ref="A672:A673"/>
    <mergeCell ref="C672:C673"/>
    <mergeCell ref="D672:D673"/>
    <mergeCell ref="J672:J673"/>
    <mergeCell ref="H672:H673"/>
    <mergeCell ref="G672:G673"/>
    <mergeCell ref="F672:F673"/>
    <mergeCell ref="J674:J675"/>
    <mergeCell ref="K674:K675"/>
    <mergeCell ref="L674:L675"/>
    <mergeCell ref="M674:M675"/>
    <mergeCell ref="I674:I675"/>
    <mergeCell ref="A674:A675"/>
    <mergeCell ref="C674:C675"/>
    <mergeCell ref="D674:D675"/>
    <mergeCell ref="E674:E675"/>
    <mergeCell ref="F674:F675"/>
    <mergeCell ref="N674:N675"/>
    <mergeCell ref="O674:O675"/>
    <mergeCell ref="A679:A680"/>
    <mergeCell ref="B679:B680"/>
    <mergeCell ref="C679:C680"/>
    <mergeCell ref="D679:D680"/>
    <mergeCell ref="E679:E680"/>
    <mergeCell ref="F679:F680"/>
    <mergeCell ref="G679:G680"/>
    <mergeCell ref="H679:H680"/>
    <mergeCell ref="H681:H682"/>
    <mergeCell ref="I681:I682"/>
    <mergeCell ref="J679:J680"/>
    <mergeCell ref="K679:K680"/>
    <mergeCell ref="L679:L680"/>
    <mergeCell ref="M679:M680"/>
    <mergeCell ref="B681:B682"/>
    <mergeCell ref="C681:C682"/>
    <mergeCell ref="D681:D682"/>
    <mergeCell ref="E681:E682"/>
    <mergeCell ref="F681:F682"/>
    <mergeCell ref="G681:G682"/>
    <mergeCell ref="J681:J682"/>
    <mergeCell ref="K681:K682"/>
    <mergeCell ref="L681:L682"/>
    <mergeCell ref="M681:M682"/>
    <mergeCell ref="N679:N680"/>
    <mergeCell ref="O679:O680"/>
    <mergeCell ref="N681:N682"/>
    <mergeCell ref="O681:O682"/>
    <mergeCell ref="A685:A686"/>
    <mergeCell ref="B685:B686"/>
    <mergeCell ref="C685:C686"/>
    <mergeCell ref="D685:D686"/>
    <mergeCell ref="E685:E686"/>
    <mergeCell ref="F685:F686"/>
    <mergeCell ref="G685:G686"/>
    <mergeCell ref="H685:H686"/>
    <mergeCell ref="M688:M689"/>
    <mergeCell ref="N688:N689"/>
    <mergeCell ref="O688:O689"/>
    <mergeCell ref="N685:N686"/>
    <mergeCell ref="O685:O686"/>
    <mergeCell ref="J685:J686"/>
    <mergeCell ref="K685:K686"/>
    <mergeCell ref="L685:L686"/>
    <mergeCell ref="M685:M686"/>
    <mergeCell ref="M692:M694"/>
    <mergeCell ref="B692:B694"/>
    <mergeCell ref="D692:D694"/>
    <mergeCell ref="E692:E694"/>
    <mergeCell ref="F692:F694"/>
    <mergeCell ref="B688:B689"/>
    <mergeCell ref="D688:D689"/>
    <mergeCell ref="J688:J689"/>
    <mergeCell ref="K688:K689"/>
    <mergeCell ref="L688:L689"/>
    <mergeCell ref="G692:G694"/>
    <mergeCell ref="H692:H694"/>
    <mergeCell ref="I692:I694"/>
    <mergeCell ref="J692:J694"/>
    <mergeCell ref="K692:K694"/>
    <mergeCell ref="L692:L694"/>
    <mergeCell ref="N695:N696"/>
    <mergeCell ref="O692:O694"/>
    <mergeCell ref="B695:B696"/>
    <mergeCell ref="C695:C696"/>
    <mergeCell ref="D695:D696"/>
    <mergeCell ref="E695:E696"/>
    <mergeCell ref="F695:F696"/>
    <mergeCell ref="G695:G696"/>
    <mergeCell ref="H695:H696"/>
    <mergeCell ref="N692:N694"/>
    <mergeCell ref="I695:I696"/>
    <mergeCell ref="B697:B698"/>
    <mergeCell ref="C697:C698"/>
    <mergeCell ref="D697:D698"/>
    <mergeCell ref="E697:E698"/>
    <mergeCell ref="M695:M696"/>
    <mergeCell ref="L697:L698"/>
    <mergeCell ref="M697:M698"/>
    <mergeCell ref="K703:K704"/>
    <mergeCell ref="L703:L704"/>
    <mergeCell ref="M703:M704"/>
    <mergeCell ref="J697:J698"/>
    <mergeCell ref="A703:A704"/>
    <mergeCell ref="C703:C704"/>
    <mergeCell ref="D703:D704"/>
    <mergeCell ref="E703:E704"/>
    <mergeCell ref="J703:J704"/>
    <mergeCell ref="K697:K698"/>
    <mergeCell ref="N703:N704"/>
    <mergeCell ref="O703:O704"/>
    <mergeCell ref="A708:A709"/>
    <mergeCell ref="B708:B709"/>
    <mergeCell ref="C708:C709"/>
    <mergeCell ref="D708:D709"/>
    <mergeCell ref="E708:E709"/>
    <mergeCell ref="F708:F709"/>
    <mergeCell ref="G708:G709"/>
    <mergeCell ref="H708:H709"/>
    <mergeCell ref="N710:N711"/>
    <mergeCell ref="N708:N709"/>
    <mergeCell ref="O708:O709"/>
    <mergeCell ref="J708:J709"/>
    <mergeCell ref="K708:K709"/>
    <mergeCell ref="L708:L709"/>
    <mergeCell ref="M708:M709"/>
    <mergeCell ref="J710:J711"/>
    <mergeCell ref="K710:K711"/>
    <mergeCell ref="L710:L711"/>
    <mergeCell ref="G713:G714"/>
    <mergeCell ref="H713:H714"/>
    <mergeCell ref="J713:J714"/>
    <mergeCell ref="M710:M711"/>
    <mergeCell ref="A710:A711"/>
    <mergeCell ref="B710:B711"/>
    <mergeCell ref="C710:C711"/>
    <mergeCell ref="D710:D711"/>
    <mergeCell ref="F710:F711"/>
    <mergeCell ref="L713:L714"/>
    <mergeCell ref="M713:M714"/>
    <mergeCell ref="N713:N714"/>
    <mergeCell ref="O710:O711"/>
    <mergeCell ref="A713:A714"/>
    <mergeCell ref="B713:B714"/>
    <mergeCell ref="C713:C714"/>
    <mergeCell ref="D713:D714"/>
    <mergeCell ref="E713:E714"/>
    <mergeCell ref="F713:F714"/>
    <mergeCell ref="N715:N716"/>
    <mergeCell ref="O715:O716"/>
    <mergeCell ref="O713:O714"/>
    <mergeCell ref="B715:B716"/>
    <mergeCell ref="C715:C716"/>
    <mergeCell ref="D715:D716"/>
    <mergeCell ref="E715:E716"/>
    <mergeCell ref="F715:F716"/>
    <mergeCell ref="G715:G716"/>
    <mergeCell ref="H715:H716"/>
    <mergeCell ref="C717:C718"/>
    <mergeCell ref="D717:D718"/>
    <mergeCell ref="E717:E718"/>
    <mergeCell ref="F717:F718"/>
    <mergeCell ref="L715:L716"/>
    <mergeCell ref="M715:M716"/>
    <mergeCell ref="J715:J716"/>
    <mergeCell ref="K715:K716"/>
    <mergeCell ref="N717:N718"/>
    <mergeCell ref="O717:O718"/>
    <mergeCell ref="G717:G718"/>
    <mergeCell ref="H717:H718"/>
    <mergeCell ref="J717:J718"/>
    <mergeCell ref="K717:K718"/>
    <mergeCell ref="E722:E723"/>
    <mergeCell ref="F722:F723"/>
    <mergeCell ref="G722:G723"/>
    <mergeCell ref="H722:H723"/>
    <mergeCell ref="A722:A723"/>
    <mergeCell ref="B722:B723"/>
    <mergeCell ref="C722:C723"/>
    <mergeCell ref="D722:D723"/>
    <mergeCell ref="O10:O11"/>
    <mergeCell ref="H10:H11"/>
    <mergeCell ref="J10:J11"/>
    <mergeCell ref="L10:L11"/>
    <mergeCell ref="M10:M11"/>
    <mergeCell ref="N722:N723"/>
    <mergeCell ref="O722:O723"/>
    <mergeCell ref="J722:J723"/>
    <mergeCell ref="K722:K723"/>
    <mergeCell ref="L722:L723"/>
    <mergeCell ref="N6:N7"/>
    <mergeCell ref="O6:O7"/>
    <mergeCell ref="A727:A728"/>
    <mergeCell ref="B727:B728"/>
    <mergeCell ref="C727:C728"/>
    <mergeCell ref="D727:D728"/>
    <mergeCell ref="E727:E728"/>
    <mergeCell ref="F727:F728"/>
    <mergeCell ref="G727:G728"/>
    <mergeCell ref="N10:N11"/>
    <mergeCell ref="G730:G731"/>
    <mergeCell ref="H727:H728"/>
    <mergeCell ref="J727:J728"/>
    <mergeCell ref="L727:L728"/>
    <mergeCell ref="M727:M728"/>
    <mergeCell ref="M6:M7"/>
    <mergeCell ref="M722:M723"/>
    <mergeCell ref="L717:L718"/>
    <mergeCell ref="M717:M718"/>
    <mergeCell ref="K713:K714"/>
    <mergeCell ref="M730:M731"/>
    <mergeCell ref="J730:J731"/>
    <mergeCell ref="N727:N728"/>
    <mergeCell ref="N730:N731"/>
    <mergeCell ref="O727:O728"/>
    <mergeCell ref="A730:A731"/>
    <mergeCell ref="B730:B731"/>
    <mergeCell ref="C730:C731"/>
    <mergeCell ref="D730:D731"/>
    <mergeCell ref="E730:E731"/>
    <mergeCell ref="O730:O731"/>
    <mergeCell ref="A735:A736"/>
    <mergeCell ref="B735:B736"/>
    <mergeCell ref="C735:C736"/>
    <mergeCell ref="D735:D736"/>
    <mergeCell ref="E735:E736"/>
    <mergeCell ref="F735:F736"/>
    <mergeCell ref="G735:G736"/>
    <mergeCell ref="H735:H736"/>
    <mergeCell ref="J735:J736"/>
    <mergeCell ref="E45:E46"/>
    <mergeCell ref="G29:G30"/>
    <mergeCell ref="F29:F30"/>
    <mergeCell ref="E29:E30"/>
    <mergeCell ref="K735:K736"/>
    <mergeCell ref="L735:L736"/>
    <mergeCell ref="H730:H731"/>
    <mergeCell ref="K730:K731"/>
    <mergeCell ref="L730:L731"/>
    <mergeCell ref="F730:F731"/>
    <mergeCell ref="K739:K741"/>
    <mergeCell ref="L739:L741"/>
    <mergeCell ref="M739:M741"/>
    <mergeCell ref="N739:N741"/>
    <mergeCell ref="O739:O741"/>
    <mergeCell ref="O735:O736"/>
    <mergeCell ref="M735:M736"/>
    <mergeCell ref="N735:N736"/>
    <mergeCell ref="B739:B741"/>
    <mergeCell ref="C739:C741"/>
    <mergeCell ref="D739:D741"/>
    <mergeCell ref="J739:J741"/>
    <mergeCell ref="G739:G741"/>
    <mergeCell ref="F739:F741"/>
    <mergeCell ref="E739:E741"/>
    <mergeCell ref="E742:E743"/>
    <mergeCell ref="F742:F743"/>
    <mergeCell ref="G742:G743"/>
    <mergeCell ref="H742:H743"/>
    <mergeCell ref="A742:A743"/>
    <mergeCell ref="B742:B743"/>
    <mergeCell ref="C742:C743"/>
    <mergeCell ref="D742:D743"/>
    <mergeCell ref="G744:G745"/>
    <mergeCell ref="H744:H745"/>
    <mergeCell ref="J742:J743"/>
    <mergeCell ref="K742:K743"/>
    <mergeCell ref="L742:L743"/>
    <mergeCell ref="M742:M743"/>
    <mergeCell ref="A744:A745"/>
    <mergeCell ref="B744:B745"/>
    <mergeCell ref="C744:C745"/>
    <mergeCell ref="D744:D745"/>
    <mergeCell ref="E744:E745"/>
    <mergeCell ref="F744:F745"/>
    <mergeCell ref="J744:J745"/>
    <mergeCell ref="K744:K745"/>
    <mergeCell ref="L744:L745"/>
    <mergeCell ref="M744:M745"/>
    <mergeCell ref="N742:N743"/>
    <mergeCell ref="O742:O743"/>
    <mergeCell ref="N744:N745"/>
    <mergeCell ref="O744:O745"/>
    <mergeCell ref="A746:A747"/>
    <mergeCell ref="B746:B747"/>
    <mergeCell ref="C746:C747"/>
    <mergeCell ref="D746:D747"/>
    <mergeCell ref="E746:E747"/>
    <mergeCell ref="F746:F747"/>
    <mergeCell ref="G746:G747"/>
    <mergeCell ref="H746:H747"/>
    <mergeCell ref="N746:N747"/>
    <mergeCell ref="O746:O747"/>
    <mergeCell ref="A751:A752"/>
    <mergeCell ref="B751:B752"/>
    <mergeCell ref="C751:C752"/>
    <mergeCell ref="D751:D752"/>
    <mergeCell ref="E751:E752"/>
    <mergeCell ref="F751:F752"/>
    <mergeCell ref="G751:G752"/>
    <mergeCell ref="H751:H752"/>
    <mergeCell ref="G45:G46"/>
    <mergeCell ref="F45:F46"/>
    <mergeCell ref="J751:J752"/>
    <mergeCell ref="K751:K752"/>
    <mergeCell ref="L751:L752"/>
    <mergeCell ref="M751:M752"/>
    <mergeCell ref="J746:J747"/>
    <mergeCell ref="K746:K747"/>
    <mergeCell ref="L746:L747"/>
    <mergeCell ref="M746:M747"/>
    <mergeCell ref="A756:A757"/>
    <mergeCell ref="B756:B757"/>
    <mergeCell ref="C756:C757"/>
    <mergeCell ref="D756:D757"/>
    <mergeCell ref="N751:N752"/>
    <mergeCell ref="O751:O752"/>
    <mergeCell ref="A763:A764"/>
    <mergeCell ref="C763:C764"/>
    <mergeCell ref="D763:D764"/>
    <mergeCell ref="E763:E764"/>
    <mergeCell ref="A758:A759"/>
    <mergeCell ref="B758:B759"/>
    <mergeCell ref="C758:C759"/>
    <mergeCell ref="D758:D759"/>
    <mergeCell ref="H45:H46"/>
    <mergeCell ref="I763:I764"/>
    <mergeCell ref="J763:J764"/>
    <mergeCell ref="K763:K764"/>
    <mergeCell ref="H763:H764"/>
    <mergeCell ref="H758:H759"/>
    <mergeCell ref="J758:J759"/>
    <mergeCell ref="K758:K759"/>
    <mergeCell ref="H756:H757"/>
    <mergeCell ref="J756:J757"/>
    <mergeCell ref="O758:O759"/>
    <mergeCell ref="F763:F764"/>
    <mergeCell ref="G763:G764"/>
    <mergeCell ref="M763:M764"/>
    <mergeCell ref="N763:N764"/>
    <mergeCell ref="O763:O764"/>
    <mergeCell ref="L763:L764"/>
    <mergeCell ref="G68:G70"/>
    <mergeCell ref="F68:F70"/>
    <mergeCell ref="E68:E70"/>
    <mergeCell ref="L758:L759"/>
    <mergeCell ref="F163:F164"/>
    <mergeCell ref="G163:G164"/>
    <mergeCell ref="E188:E189"/>
    <mergeCell ref="G175:G176"/>
    <mergeCell ref="F175:F176"/>
    <mergeCell ref="E175:E176"/>
    <mergeCell ref="O756:O757"/>
    <mergeCell ref="E758:E759"/>
    <mergeCell ref="F758:F759"/>
    <mergeCell ref="K756:K757"/>
    <mergeCell ref="L756:L757"/>
    <mergeCell ref="G758:G759"/>
    <mergeCell ref="G756:G757"/>
    <mergeCell ref="F756:F757"/>
    <mergeCell ref="M758:M759"/>
    <mergeCell ref="N758:N759"/>
    <mergeCell ref="B769:B770"/>
    <mergeCell ref="C769:C770"/>
    <mergeCell ref="D769:D770"/>
    <mergeCell ref="E769:E770"/>
    <mergeCell ref="M756:M757"/>
    <mergeCell ref="N756:N757"/>
    <mergeCell ref="H772:H773"/>
    <mergeCell ref="I772:I773"/>
    <mergeCell ref="J769:J770"/>
    <mergeCell ref="K769:K770"/>
    <mergeCell ref="L769:L770"/>
    <mergeCell ref="M769:M770"/>
    <mergeCell ref="H769:H770"/>
    <mergeCell ref="I769:I770"/>
    <mergeCell ref="L772:L773"/>
    <mergeCell ref="M772:M773"/>
    <mergeCell ref="N769:N770"/>
    <mergeCell ref="O769:O770"/>
    <mergeCell ref="A772:A773"/>
    <mergeCell ref="C772:C773"/>
    <mergeCell ref="D772:D773"/>
    <mergeCell ref="E772:E773"/>
    <mergeCell ref="F772:F773"/>
    <mergeCell ref="G772:G773"/>
    <mergeCell ref="B775:B776"/>
    <mergeCell ref="C775:C776"/>
    <mergeCell ref="D775:D776"/>
    <mergeCell ref="E775:E776"/>
    <mergeCell ref="F775:F776"/>
    <mergeCell ref="G775:G776"/>
    <mergeCell ref="H779:H780"/>
    <mergeCell ref="I779:I780"/>
    <mergeCell ref="J775:J776"/>
    <mergeCell ref="K775:K776"/>
    <mergeCell ref="N772:N773"/>
    <mergeCell ref="O772:O773"/>
    <mergeCell ref="H775:H776"/>
    <mergeCell ref="I775:I776"/>
    <mergeCell ref="J772:J773"/>
    <mergeCell ref="K772:K773"/>
    <mergeCell ref="N775:N776"/>
    <mergeCell ref="O775:O776"/>
    <mergeCell ref="L775:L776"/>
    <mergeCell ref="M775:M776"/>
    <mergeCell ref="L779:L780"/>
    <mergeCell ref="M779:M780"/>
    <mergeCell ref="O779:O780"/>
    <mergeCell ref="B781:B782"/>
    <mergeCell ref="C781:C782"/>
    <mergeCell ref="D781:D782"/>
    <mergeCell ref="E781:E782"/>
    <mergeCell ref="I781:I782"/>
    <mergeCell ref="J779:J780"/>
    <mergeCell ref="B779:B780"/>
    <mergeCell ref="C779:C780"/>
    <mergeCell ref="D779:D780"/>
    <mergeCell ref="E779:E780"/>
    <mergeCell ref="K781:K782"/>
    <mergeCell ref="L781:L782"/>
    <mergeCell ref="F781:F782"/>
    <mergeCell ref="G781:G782"/>
    <mergeCell ref="H781:H782"/>
    <mergeCell ref="C783:C784"/>
    <mergeCell ref="D783:D784"/>
    <mergeCell ref="E783:E784"/>
    <mergeCell ref="F783:F784"/>
    <mergeCell ref="N779:N780"/>
    <mergeCell ref="K779:K780"/>
    <mergeCell ref="E81:E82"/>
    <mergeCell ref="K783:K784"/>
    <mergeCell ref="L783:L784"/>
    <mergeCell ref="M783:M784"/>
    <mergeCell ref="H783:H784"/>
    <mergeCell ref="I783:I784"/>
    <mergeCell ref="J783:J784"/>
    <mergeCell ref="J781:J782"/>
    <mergeCell ref="M788:M789"/>
    <mergeCell ref="N788:N789"/>
    <mergeCell ref="O788:O789"/>
    <mergeCell ref="O783:O784"/>
    <mergeCell ref="G81:G82"/>
    <mergeCell ref="F81:F82"/>
    <mergeCell ref="N783:N784"/>
    <mergeCell ref="N781:N782"/>
    <mergeCell ref="O781:O782"/>
    <mergeCell ref="M781:M782"/>
    <mergeCell ref="B788:B789"/>
    <mergeCell ref="C788:C789"/>
    <mergeCell ref="D788:D789"/>
    <mergeCell ref="J788:J789"/>
    <mergeCell ref="K788:K789"/>
    <mergeCell ref="L788:L789"/>
    <mergeCell ref="F791:F793"/>
    <mergeCell ref="G791:G793"/>
    <mergeCell ref="H791:H793"/>
    <mergeCell ref="I791:I793"/>
    <mergeCell ref="B791:B793"/>
    <mergeCell ref="C791:C793"/>
    <mergeCell ref="D791:D793"/>
    <mergeCell ref="E791:E793"/>
    <mergeCell ref="H796:H797"/>
    <mergeCell ref="I796:I797"/>
    <mergeCell ref="J791:J793"/>
    <mergeCell ref="K791:K793"/>
    <mergeCell ref="L791:L793"/>
    <mergeCell ref="M791:M793"/>
    <mergeCell ref="A796:A797"/>
    <mergeCell ref="C796:C797"/>
    <mergeCell ref="D796:D797"/>
    <mergeCell ref="E796:E797"/>
    <mergeCell ref="F796:F797"/>
    <mergeCell ref="G796:G797"/>
    <mergeCell ref="J796:J797"/>
    <mergeCell ref="K796:K797"/>
    <mergeCell ref="L796:L797"/>
    <mergeCell ref="M796:M797"/>
    <mergeCell ref="N791:N793"/>
    <mergeCell ref="O791:O793"/>
    <mergeCell ref="N796:N797"/>
    <mergeCell ref="O796:O797"/>
    <mergeCell ref="A798:A799"/>
    <mergeCell ref="B798:B799"/>
    <mergeCell ref="C798:C799"/>
    <mergeCell ref="D798:D799"/>
    <mergeCell ref="E798:E799"/>
    <mergeCell ref="F798:F799"/>
    <mergeCell ref="G798:G799"/>
    <mergeCell ref="H798:H799"/>
    <mergeCell ref="H801:H802"/>
    <mergeCell ref="I801:I802"/>
    <mergeCell ref="J798:J799"/>
    <mergeCell ref="K798:K799"/>
    <mergeCell ref="L798:L799"/>
    <mergeCell ref="M798:M799"/>
    <mergeCell ref="B801:B802"/>
    <mergeCell ref="C801:C802"/>
    <mergeCell ref="D801:D802"/>
    <mergeCell ref="E801:E802"/>
    <mergeCell ref="F801:F802"/>
    <mergeCell ref="G801:G802"/>
    <mergeCell ref="J801:J802"/>
    <mergeCell ref="K801:K802"/>
    <mergeCell ref="L801:L802"/>
    <mergeCell ref="M801:M802"/>
    <mergeCell ref="N798:N799"/>
    <mergeCell ref="O798:O799"/>
    <mergeCell ref="N801:N802"/>
    <mergeCell ref="O801:O802"/>
    <mergeCell ref="B803:B804"/>
    <mergeCell ref="C803:C804"/>
    <mergeCell ref="D803:D804"/>
    <mergeCell ref="E803:E804"/>
    <mergeCell ref="F803:F804"/>
    <mergeCell ref="G803:G804"/>
    <mergeCell ref="H803:H804"/>
    <mergeCell ref="J803:J804"/>
    <mergeCell ref="O803:O804"/>
    <mergeCell ref="E111:E112"/>
    <mergeCell ref="H95:H96"/>
    <mergeCell ref="G95:G96"/>
    <mergeCell ref="F95:F96"/>
    <mergeCell ref="E95:E96"/>
    <mergeCell ref="K803:K804"/>
    <mergeCell ref="L803:L804"/>
    <mergeCell ref="M803:M804"/>
    <mergeCell ref="N803:N804"/>
    <mergeCell ref="J810:J811"/>
    <mergeCell ref="K810:K811"/>
    <mergeCell ref="L810:L811"/>
    <mergeCell ref="M810:M811"/>
    <mergeCell ref="A810:A811"/>
    <mergeCell ref="B810:B811"/>
    <mergeCell ref="C810:C811"/>
    <mergeCell ref="D810:D811"/>
    <mergeCell ref="N810:N811"/>
    <mergeCell ref="O810:O811"/>
    <mergeCell ref="A816:A817"/>
    <mergeCell ref="C816:C817"/>
    <mergeCell ref="D816:D817"/>
    <mergeCell ref="E816:E817"/>
    <mergeCell ref="F816:F817"/>
    <mergeCell ref="G816:G817"/>
    <mergeCell ref="H816:H817"/>
    <mergeCell ref="I816:I817"/>
    <mergeCell ref="H818:H819"/>
    <mergeCell ref="J818:J819"/>
    <mergeCell ref="J816:J817"/>
    <mergeCell ref="K816:K817"/>
    <mergeCell ref="L816:L817"/>
    <mergeCell ref="M816:M817"/>
    <mergeCell ref="A818:A819"/>
    <mergeCell ref="C818:C819"/>
    <mergeCell ref="D818:D819"/>
    <mergeCell ref="E818:E819"/>
    <mergeCell ref="F818:F819"/>
    <mergeCell ref="G818:G819"/>
    <mergeCell ref="K818:K819"/>
    <mergeCell ref="L818:L819"/>
    <mergeCell ref="M818:M819"/>
    <mergeCell ref="N818:N819"/>
    <mergeCell ref="N816:N817"/>
    <mergeCell ref="O816:O817"/>
    <mergeCell ref="O818:O819"/>
    <mergeCell ref="B820:B821"/>
    <mergeCell ref="C820:C821"/>
    <mergeCell ref="D820:D821"/>
    <mergeCell ref="E820:E821"/>
    <mergeCell ref="F820:F821"/>
    <mergeCell ref="G820:G821"/>
    <mergeCell ref="H820:H821"/>
    <mergeCell ref="I820:I821"/>
    <mergeCell ref="J820:J821"/>
    <mergeCell ref="O820:O821"/>
    <mergeCell ref="E163:E164"/>
    <mergeCell ref="E145:E146"/>
    <mergeCell ref="G131:G132"/>
    <mergeCell ref="F131:F132"/>
    <mergeCell ref="E131:E132"/>
    <mergeCell ref="K820:K821"/>
    <mergeCell ref="L820:L821"/>
    <mergeCell ref="M820:M821"/>
    <mergeCell ref="N820:N821"/>
    <mergeCell ref="J822:J823"/>
    <mergeCell ref="K822:K823"/>
    <mergeCell ref="L822:L823"/>
    <mergeCell ref="M822:M823"/>
    <mergeCell ref="A822:A823"/>
    <mergeCell ref="B822:B823"/>
    <mergeCell ref="C822:C823"/>
    <mergeCell ref="D822:D823"/>
    <mergeCell ref="N822:N823"/>
    <mergeCell ref="O822:O823"/>
    <mergeCell ref="A825:A826"/>
    <mergeCell ref="B825:B826"/>
    <mergeCell ref="C825:C826"/>
    <mergeCell ref="D825:D826"/>
    <mergeCell ref="E825:E826"/>
    <mergeCell ref="F825:F826"/>
    <mergeCell ref="G825:G826"/>
    <mergeCell ref="H825:H826"/>
    <mergeCell ref="G827:G828"/>
    <mergeCell ref="H827:H828"/>
    <mergeCell ref="J825:J826"/>
    <mergeCell ref="K825:K826"/>
    <mergeCell ref="L825:L826"/>
    <mergeCell ref="M825:M826"/>
    <mergeCell ref="I832:I833"/>
    <mergeCell ref="J827:J828"/>
    <mergeCell ref="N825:N826"/>
    <mergeCell ref="O825:O826"/>
    <mergeCell ref="A827:A828"/>
    <mergeCell ref="B827:B828"/>
    <mergeCell ref="C827:C828"/>
    <mergeCell ref="D827:D828"/>
    <mergeCell ref="E827:E828"/>
    <mergeCell ref="F827:F828"/>
    <mergeCell ref="N827:N828"/>
    <mergeCell ref="K827:K828"/>
    <mergeCell ref="L827:L828"/>
    <mergeCell ref="M827:M828"/>
    <mergeCell ref="N832:N833"/>
    <mergeCell ref="O827:O828"/>
    <mergeCell ref="A836:A837"/>
    <mergeCell ref="B836:B837"/>
    <mergeCell ref="C836:C837"/>
    <mergeCell ref="D836:D837"/>
    <mergeCell ref="L832:L833"/>
    <mergeCell ref="M832:M833"/>
    <mergeCell ref="A832:A833"/>
    <mergeCell ref="C832:C833"/>
    <mergeCell ref="D832:D833"/>
    <mergeCell ref="E832:E833"/>
    <mergeCell ref="O832:O833"/>
    <mergeCell ref="E836:E837"/>
    <mergeCell ref="F836:F837"/>
    <mergeCell ref="G836:G837"/>
    <mergeCell ref="H836:H837"/>
    <mergeCell ref="J832:J833"/>
    <mergeCell ref="K832:K833"/>
    <mergeCell ref="F832:F833"/>
    <mergeCell ref="G832:G833"/>
    <mergeCell ref="H832:H833"/>
    <mergeCell ref="M836:M837"/>
    <mergeCell ref="K838:K839"/>
    <mergeCell ref="L838:L839"/>
    <mergeCell ref="C838:C839"/>
    <mergeCell ref="D838:D839"/>
    <mergeCell ref="E838:E839"/>
    <mergeCell ref="H838:H839"/>
    <mergeCell ref="I838:I839"/>
    <mergeCell ref="B838:B839"/>
    <mergeCell ref="K836:K837"/>
    <mergeCell ref="N838:N839"/>
    <mergeCell ref="O838:O839"/>
    <mergeCell ref="M838:M839"/>
    <mergeCell ref="N836:N837"/>
    <mergeCell ref="O836:O837"/>
    <mergeCell ref="L836:L837"/>
    <mergeCell ref="A846:A847"/>
    <mergeCell ref="C846:C847"/>
    <mergeCell ref="D846:D847"/>
    <mergeCell ref="E846:E847"/>
    <mergeCell ref="I843:I844"/>
    <mergeCell ref="J843:J844"/>
    <mergeCell ref="A843:A844"/>
    <mergeCell ref="C843:C844"/>
    <mergeCell ref="D843:D844"/>
    <mergeCell ref="H163:H164"/>
    <mergeCell ref="I846:I847"/>
    <mergeCell ref="J846:J847"/>
    <mergeCell ref="K846:K847"/>
    <mergeCell ref="L846:L847"/>
    <mergeCell ref="M843:M844"/>
    <mergeCell ref="K843:K844"/>
    <mergeCell ref="L843:L844"/>
    <mergeCell ref="J836:J837"/>
    <mergeCell ref="J838:J839"/>
    <mergeCell ref="H207:H208"/>
    <mergeCell ref="G207:G208"/>
    <mergeCell ref="F207:F208"/>
    <mergeCell ref="E207:E208"/>
    <mergeCell ref="N846:N847"/>
    <mergeCell ref="O846:O847"/>
    <mergeCell ref="N843:N844"/>
    <mergeCell ref="O843:O844"/>
    <mergeCell ref="F838:F839"/>
    <mergeCell ref="G838:G839"/>
    <mergeCell ref="C868:C869"/>
    <mergeCell ref="D868:D869"/>
    <mergeCell ref="M846:M847"/>
    <mergeCell ref="F846:F847"/>
    <mergeCell ref="G846:G847"/>
    <mergeCell ref="H846:H847"/>
    <mergeCell ref="F868:F869"/>
    <mergeCell ref="E868:E869"/>
    <mergeCell ref="O868:O869"/>
    <mergeCell ref="A870:A871"/>
    <mergeCell ref="C870:C871"/>
    <mergeCell ref="D870:D871"/>
    <mergeCell ref="E870:E871"/>
    <mergeCell ref="G870:G871"/>
    <mergeCell ref="H870:H871"/>
    <mergeCell ref="I868:I869"/>
    <mergeCell ref="J868:J869"/>
    <mergeCell ref="I870:I871"/>
    <mergeCell ref="G872:G873"/>
    <mergeCell ref="B872:B873"/>
    <mergeCell ref="C872:C873"/>
    <mergeCell ref="D872:D873"/>
    <mergeCell ref="E872:E873"/>
    <mergeCell ref="N868:N869"/>
    <mergeCell ref="K868:K869"/>
    <mergeCell ref="L868:L869"/>
    <mergeCell ref="J870:J871"/>
    <mergeCell ref="B868:B869"/>
    <mergeCell ref="K870:K871"/>
    <mergeCell ref="F870:F871"/>
    <mergeCell ref="E250:E251"/>
    <mergeCell ref="M872:M873"/>
    <mergeCell ref="M868:M869"/>
    <mergeCell ref="H268:H269"/>
    <mergeCell ref="H250:H251"/>
    <mergeCell ref="G250:G251"/>
    <mergeCell ref="F250:F251"/>
    <mergeCell ref="E285:E287"/>
    <mergeCell ref="O872:O873"/>
    <mergeCell ref="L872:L873"/>
    <mergeCell ref="M870:M871"/>
    <mergeCell ref="N870:N871"/>
    <mergeCell ref="O870:O871"/>
    <mergeCell ref="L870:L871"/>
    <mergeCell ref="D878:D879"/>
    <mergeCell ref="F878:F879"/>
    <mergeCell ref="E878:E879"/>
    <mergeCell ref="G878:G879"/>
    <mergeCell ref="H878:H879"/>
    <mergeCell ref="N872:N873"/>
    <mergeCell ref="H872:H873"/>
    <mergeCell ref="J872:J873"/>
    <mergeCell ref="K872:K873"/>
    <mergeCell ref="F872:F873"/>
    <mergeCell ref="K878:K879"/>
    <mergeCell ref="L878:L879"/>
    <mergeCell ref="M878:M879"/>
    <mergeCell ref="N878:N879"/>
    <mergeCell ref="I878:I879"/>
    <mergeCell ref="J878:J879"/>
    <mergeCell ref="O878:O879"/>
    <mergeCell ref="A883:A884"/>
    <mergeCell ref="C883:C884"/>
    <mergeCell ref="D883:D884"/>
    <mergeCell ref="E883:E884"/>
    <mergeCell ref="F883:F884"/>
    <mergeCell ref="G883:G884"/>
    <mergeCell ref="H883:H884"/>
    <mergeCell ref="I883:I884"/>
    <mergeCell ref="J883:J884"/>
    <mergeCell ref="M887:M888"/>
    <mergeCell ref="N887:N888"/>
    <mergeCell ref="O887:O888"/>
    <mergeCell ref="O883:O884"/>
    <mergeCell ref="K883:K884"/>
    <mergeCell ref="L883:L884"/>
    <mergeCell ref="M883:M884"/>
    <mergeCell ref="N883:N884"/>
    <mergeCell ref="L887:L888"/>
    <mergeCell ref="E887:E888"/>
    <mergeCell ref="F887:F888"/>
    <mergeCell ref="G887:G888"/>
    <mergeCell ref="H887:H888"/>
    <mergeCell ref="J887:J888"/>
    <mergeCell ref="K887:K888"/>
    <mergeCell ref="G343:G344"/>
    <mergeCell ref="F343:F344"/>
    <mergeCell ref="E343:E344"/>
    <mergeCell ref="G304:G305"/>
    <mergeCell ref="F304:F305"/>
    <mergeCell ref="E304:E305"/>
    <mergeCell ref="F336:F337"/>
    <mergeCell ref="G336:G337"/>
    <mergeCell ref="F331:F332"/>
    <mergeCell ref="G331:G332"/>
    <mergeCell ref="C893:C894"/>
    <mergeCell ref="D893:D894"/>
    <mergeCell ref="G359:G360"/>
    <mergeCell ref="F359:F360"/>
    <mergeCell ref="E359:E360"/>
    <mergeCell ref="A887:A888"/>
    <mergeCell ref="C887:C888"/>
    <mergeCell ref="D887:D888"/>
    <mergeCell ref="A872:A873"/>
    <mergeCell ref="C878:C879"/>
    <mergeCell ref="O893:O894"/>
    <mergeCell ref="A897:A898"/>
    <mergeCell ref="B897:B898"/>
    <mergeCell ref="C897:C898"/>
    <mergeCell ref="D897:D898"/>
    <mergeCell ref="E897:E898"/>
    <mergeCell ref="F897:F898"/>
    <mergeCell ref="G897:G898"/>
    <mergeCell ref="I893:I894"/>
    <mergeCell ref="A893:A894"/>
    <mergeCell ref="M893:M894"/>
    <mergeCell ref="J893:J894"/>
    <mergeCell ref="K893:K894"/>
    <mergeCell ref="L893:L894"/>
    <mergeCell ref="M897:M898"/>
    <mergeCell ref="N893:N894"/>
    <mergeCell ref="O897:O898"/>
    <mergeCell ref="B899:B900"/>
    <mergeCell ref="C899:C900"/>
    <mergeCell ref="D899:D900"/>
    <mergeCell ref="E899:E900"/>
    <mergeCell ref="F899:F900"/>
    <mergeCell ref="G899:G900"/>
    <mergeCell ref="H899:H900"/>
    <mergeCell ref="O899:O900"/>
    <mergeCell ref="J897:J898"/>
    <mergeCell ref="I899:I900"/>
    <mergeCell ref="A903:A904"/>
    <mergeCell ref="C903:C904"/>
    <mergeCell ref="D903:D904"/>
    <mergeCell ref="E903:E904"/>
    <mergeCell ref="N897:N898"/>
    <mergeCell ref="K897:K898"/>
    <mergeCell ref="L897:L898"/>
    <mergeCell ref="N899:N900"/>
    <mergeCell ref="K899:K900"/>
    <mergeCell ref="L899:L900"/>
    <mergeCell ref="O903:O904"/>
    <mergeCell ref="J899:J900"/>
    <mergeCell ref="K903:K904"/>
    <mergeCell ref="L903:L904"/>
    <mergeCell ref="M899:M900"/>
    <mergeCell ref="J903:J904"/>
    <mergeCell ref="G903:G904"/>
    <mergeCell ref="H903:H904"/>
    <mergeCell ref="B910:B911"/>
    <mergeCell ref="C910:C911"/>
    <mergeCell ref="D910:D911"/>
    <mergeCell ref="E910:E911"/>
    <mergeCell ref="N910:N911"/>
    <mergeCell ref="O910:O911"/>
    <mergeCell ref="H359:H360"/>
    <mergeCell ref="I910:I911"/>
    <mergeCell ref="J910:J911"/>
    <mergeCell ref="K910:K911"/>
    <mergeCell ref="L910:L911"/>
    <mergeCell ref="M903:M904"/>
    <mergeCell ref="N903:N904"/>
    <mergeCell ref="H910:H911"/>
    <mergeCell ref="G376:G377"/>
    <mergeCell ref="F376:F377"/>
    <mergeCell ref="E376:E377"/>
    <mergeCell ref="F388:F390"/>
    <mergeCell ref="G388:G390"/>
    <mergeCell ref="M910:M911"/>
    <mergeCell ref="F910:F911"/>
    <mergeCell ref="G910:G911"/>
    <mergeCell ref="I903:I904"/>
    <mergeCell ref="F903:F904"/>
    <mergeCell ref="N914:N915"/>
    <mergeCell ref="I914:I915"/>
    <mergeCell ref="J914:J915"/>
    <mergeCell ref="C914:C915"/>
    <mergeCell ref="D914:D915"/>
    <mergeCell ref="F914:F915"/>
    <mergeCell ref="E914:E915"/>
    <mergeCell ref="G914:G915"/>
    <mergeCell ref="H914:H915"/>
    <mergeCell ref="G917:G918"/>
    <mergeCell ref="H917:H918"/>
    <mergeCell ref="J917:J918"/>
    <mergeCell ref="K914:K915"/>
    <mergeCell ref="L914:L915"/>
    <mergeCell ref="M914:M915"/>
    <mergeCell ref="L917:L918"/>
    <mergeCell ref="M917:M918"/>
    <mergeCell ref="N917:N918"/>
    <mergeCell ref="O914:O915"/>
    <mergeCell ref="A917:A918"/>
    <mergeCell ref="B917:B918"/>
    <mergeCell ref="C917:C918"/>
    <mergeCell ref="D917:D918"/>
    <mergeCell ref="E917:E918"/>
    <mergeCell ref="F917:F918"/>
    <mergeCell ref="L924:L925"/>
    <mergeCell ref="M924:M925"/>
    <mergeCell ref="N924:N925"/>
    <mergeCell ref="O917:O918"/>
    <mergeCell ref="O924:O925"/>
    <mergeCell ref="A924:A925"/>
    <mergeCell ref="B924:B925"/>
    <mergeCell ref="D924:D925"/>
    <mergeCell ref="E924:E925"/>
    <mergeCell ref="K917:K918"/>
    <mergeCell ref="J927:J928"/>
    <mergeCell ref="F927:F928"/>
    <mergeCell ref="A927:A928"/>
    <mergeCell ref="C927:C928"/>
    <mergeCell ref="D927:D928"/>
    <mergeCell ref="E927:E928"/>
    <mergeCell ref="K927:K928"/>
    <mergeCell ref="K924:K925"/>
    <mergeCell ref="F924:F925"/>
    <mergeCell ref="G924:G925"/>
    <mergeCell ref="H924:H925"/>
    <mergeCell ref="I924:I925"/>
    <mergeCell ref="J924:J925"/>
    <mergeCell ref="G927:G928"/>
    <mergeCell ref="H927:H928"/>
    <mergeCell ref="I927:I928"/>
    <mergeCell ref="A930:A931"/>
    <mergeCell ref="C930:C931"/>
    <mergeCell ref="D930:D931"/>
    <mergeCell ref="O927:O928"/>
    <mergeCell ref="L927:L928"/>
    <mergeCell ref="M927:M928"/>
    <mergeCell ref="N927:N928"/>
    <mergeCell ref="J930:J931"/>
    <mergeCell ref="K930:K931"/>
    <mergeCell ref="L930:L931"/>
    <mergeCell ref="D933:D934"/>
    <mergeCell ref="E933:E934"/>
    <mergeCell ref="M930:M931"/>
    <mergeCell ref="F933:F934"/>
    <mergeCell ref="G933:G934"/>
    <mergeCell ref="H933:H934"/>
    <mergeCell ref="I933:I934"/>
    <mergeCell ref="L933:L934"/>
    <mergeCell ref="M933:M934"/>
    <mergeCell ref="A938:A939"/>
    <mergeCell ref="B938:B939"/>
    <mergeCell ref="C938:C939"/>
    <mergeCell ref="D938:D939"/>
    <mergeCell ref="N930:N931"/>
    <mergeCell ref="O930:O931"/>
    <mergeCell ref="N933:N934"/>
    <mergeCell ref="O933:O934"/>
    <mergeCell ref="A933:A934"/>
    <mergeCell ref="C933:C934"/>
    <mergeCell ref="J941:J942"/>
    <mergeCell ref="J938:J939"/>
    <mergeCell ref="E938:E939"/>
    <mergeCell ref="F938:F939"/>
    <mergeCell ref="G938:G939"/>
    <mergeCell ref="H938:H939"/>
    <mergeCell ref="N938:N939"/>
    <mergeCell ref="L938:L939"/>
    <mergeCell ref="M938:M939"/>
    <mergeCell ref="O938:O939"/>
    <mergeCell ref="A941:A942"/>
    <mergeCell ref="C941:C942"/>
    <mergeCell ref="D941:D942"/>
    <mergeCell ref="E941:E942"/>
    <mergeCell ref="F941:F942"/>
    <mergeCell ref="G941:G942"/>
    <mergeCell ref="A943:A944"/>
    <mergeCell ref="B943:B944"/>
    <mergeCell ref="C943:C944"/>
    <mergeCell ref="D943:D944"/>
    <mergeCell ref="E943:E944"/>
    <mergeCell ref="F943:F944"/>
    <mergeCell ref="J933:J934"/>
    <mergeCell ref="K933:K934"/>
    <mergeCell ref="E493:E494"/>
    <mergeCell ref="G461:G462"/>
    <mergeCell ref="N943:N944"/>
    <mergeCell ref="O941:O942"/>
    <mergeCell ref="G943:G944"/>
    <mergeCell ref="L941:L942"/>
    <mergeCell ref="M941:M942"/>
    <mergeCell ref="N941:N942"/>
    <mergeCell ref="A945:A946"/>
    <mergeCell ref="B945:B946"/>
    <mergeCell ref="C945:C946"/>
    <mergeCell ref="D945:D946"/>
    <mergeCell ref="E421:E423"/>
    <mergeCell ref="K943:K944"/>
    <mergeCell ref="H943:H944"/>
    <mergeCell ref="J943:J944"/>
    <mergeCell ref="K941:K942"/>
    <mergeCell ref="K938:K939"/>
    <mergeCell ref="O945:O946"/>
    <mergeCell ref="H439:H441"/>
    <mergeCell ref="G439:G441"/>
    <mergeCell ref="J945:J946"/>
    <mergeCell ref="K945:K946"/>
    <mergeCell ref="L945:L946"/>
    <mergeCell ref="M945:M946"/>
    <mergeCell ref="O943:O944"/>
    <mergeCell ref="L943:L944"/>
    <mergeCell ref="M943:M944"/>
    <mergeCell ref="B959:B960"/>
    <mergeCell ref="C959:C960"/>
    <mergeCell ref="D959:D960"/>
    <mergeCell ref="N945:N946"/>
    <mergeCell ref="I959:I960"/>
    <mergeCell ref="J959:J960"/>
    <mergeCell ref="K959:K960"/>
    <mergeCell ref="L959:L960"/>
    <mergeCell ref="M959:M960"/>
    <mergeCell ref="N959:N960"/>
    <mergeCell ref="O959:O960"/>
    <mergeCell ref="A962:A963"/>
    <mergeCell ref="C962:C963"/>
    <mergeCell ref="D962:D963"/>
    <mergeCell ref="E962:E963"/>
    <mergeCell ref="F962:F963"/>
    <mergeCell ref="G962:G963"/>
    <mergeCell ref="H962:H963"/>
    <mergeCell ref="I962:I963"/>
    <mergeCell ref="J962:J963"/>
    <mergeCell ref="O966:O967"/>
    <mergeCell ref="J966:J967"/>
    <mergeCell ref="K962:K963"/>
    <mergeCell ref="L962:L963"/>
    <mergeCell ref="M962:M963"/>
    <mergeCell ref="N962:N963"/>
    <mergeCell ref="I966:I967"/>
    <mergeCell ref="B969:B970"/>
    <mergeCell ref="C969:C970"/>
    <mergeCell ref="D969:D970"/>
    <mergeCell ref="E969:E970"/>
    <mergeCell ref="O962:O963"/>
    <mergeCell ref="B966:B967"/>
    <mergeCell ref="C966:C967"/>
    <mergeCell ref="D966:D967"/>
    <mergeCell ref="E966:E967"/>
    <mergeCell ref="K969:K970"/>
    <mergeCell ref="L969:L970"/>
    <mergeCell ref="M966:M967"/>
    <mergeCell ref="N966:N967"/>
    <mergeCell ref="K966:K967"/>
    <mergeCell ref="L966:L967"/>
    <mergeCell ref="O969:O970"/>
    <mergeCell ref="A971:A972"/>
    <mergeCell ref="C971:C972"/>
    <mergeCell ref="D971:D972"/>
    <mergeCell ref="E971:E972"/>
    <mergeCell ref="F971:F972"/>
    <mergeCell ref="G971:G972"/>
    <mergeCell ref="H971:H972"/>
    <mergeCell ref="I969:I970"/>
    <mergeCell ref="J969:J970"/>
    <mergeCell ref="M971:M972"/>
    <mergeCell ref="N971:N972"/>
    <mergeCell ref="O971:O972"/>
    <mergeCell ref="I439:I441"/>
    <mergeCell ref="I971:I972"/>
    <mergeCell ref="J971:J972"/>
    <mergeCell ref="K971:K972"/>
    <mergeCell ref="L971:L972"/>
    <mergeCell ref="M969:M970"/>
    <mergeCell ref="N969:N970"/>
    <mergeCell ref="O697:O698"/>
    <mergeCell ref="N697:N698"/>
    <mergeCell ref="O695:O696"/>
    <mergeCell ref="F697:F698"/>
    <mergeCell ref="G697:G698"/>
    <mergeCell ref="H697:H698"/>
    <mergeCell ref="I697:I698"/>
    <mergeCell ref="K695:K696"/>
    <mergeCell ref="J695:J696"/>
    <mergeCell ref="L695:L696"/>
    <mergeCell ref="F461:F462"/>
    <mergeCell ref="E461:E462"/>
    <mergeCell ref="E490:E491"/>
    <mergeCell ref="F490:F491"/>
    <mergeCell ref="E488:E489"/>
    <mergeCell ref="F488:F489"/>
    <mergeCell ref="E486:E487"/>
    <mergeCell ref="F486:F487"/>
    <mergeCell ref="E484:E485"/>
    <mergeCell ref="F484:F485"/>
    <mergeCell ref="J977:J978"/>
    <mergeCell ref="K977:K978"/>
    <mergeCell ref="L977:L978"/>
    <mergeCell ref="M977:M978"/>
    <mergeCell ref="I977:I978"/>
    <mergeCell ref="A977:A978"/>
    <mergeCell ref="C977:C978"/>
    <mergeCell ref="D977:D978"/>
    <mergeCell ref="N977:N978"/>
    <mergeCell ref="O977:O978"/>
    <mergeCell ref="A980:A981"/>
    <mergeCell ref="C980:C981"/>
    <mergeCell ref="D980:D981"/>
    <mergeCell ref="E980:E981"/>
    <mergeCell ref="F980:F981"/>
    <mergeCell ref="G980:G981"/>
    <mergeCell ref="H980:H981"/>
    <mergeCell ref="I980:I981"/>
    <mergeCell ref="H985:H986"/>
    <mergeCell ref="I985:I986"/>
    <mergeCell ref="J980:J981"/>
    <mergeCell ref="K980:K981"/>
    <mergeCell ref="L980:L981"/>
    <mergeCell ref="M980:M981"/>
    <mergeCell ref="B985:B986"/>
    <mergeCell ref="C985:C986"/>
    <mergeCell ref="D985:D986"/>
    <mergeCell ref="E985:E986"/>
    <mergeCell ref="F985:F986"/>
    <mergeCell ref="G985:G986"/>
    <mergeCell ref="J985:J986"/>
    <mergeCell ref="K985:K986"/>
    <mergeCell ref="L985:L986"/>
    <mergeCell ref="M985:M986"/>
    <mergeCell ref="N980:N981"/>
    <mergeCell ref="O980:O981"/>
    <mergeCell ref="M987:M988"/>
    <mergeCell ref="N985:N986"/>
    <mergeCell ref="O985:O986"/>
    <mergeCell ref="A987:A988"/>
    <mergeCell ref="B987:B988"/>
    <mergeCell ref="C987:C988"/>
    <mergeCell ref="D987:D988"/>
    <mergeCell ref="E987:E988"/>
    <mergeCell ref="F987:F988"/>
    <mergeCell ref="G987:G988"/>
    <mergeCell ref="F989:F990"/>
    <mergeCell ref="G989:G990"/>
    <mergeCell ref="H989:H990"/>
    <mergeCell ref="J987:J988"/>
    <mergeCell ref="K987:K988"/>
    <mergeCell ref="L987:L988"/>
    <mergeCell ref="H987:H988"/>
    <mergeCell ref="K989:K990"/>
    <mergeCell ref="L989:L990"/>
    <mergeCell ref="M989:M990"/>
    <mergeCell ref="N987:N988"/>
    <mergeCell ref="O987:O988"/>
    <mergeCell ref="A989:A990"/>
    <mergeCell ref="B989:B990"/>
    <mergeCell ref="C989:C990"/>
    <mergeCell ref="D989:D990"/>
    <mergeCell ref="E989:E990"/>
    <mergeCell ref="N989:N990"/>
    <mergeCell ref="O989:O990"/>
    <mergeCell ref="A991:A992"/>
    <mergeCell ref="B991:B992"/>
    <mergeCell ref="C991:C992"/>
    <mergeCell ref="D991:D992"/>
    <mergeCell ref="E991:E992"/>
    <mergeCell ref="G991:G992"/>
    <mergeCell ref="H991:H992"/>
    <mergeCell ref="J989:J990"/>
    <mergeCell ref="I993:I994"/>
    <mergeCell ref="J991:J992"/>
    <mergeCell ref="K991:K992"/>
    <mergeCell ref="L991:L992"/>
    <mergeCell ref="I991:I992"/>
    <mergeCell ref="M991:M992"/>
    <mergeCell ref="O993:O994"/>
    <mergeCell ref="G493:G494"/>
    <mergeCell ref="F493:F494"/>
    <mergeCell ref="J993:J994"/>
    <mergeCell ref="K993:K994"/>
    <mergeCell ref="L993:L994"/>
    <mergeCell ref="M993:M994"/>
    <mergeCell ref="N991:N992"/>
    <mergeCell ref="O991:O992"/>
    <mergeCell ref="F993:F994"/>
    <mergeCell ref="B996:B997"/>
    <mergeCell ref="C996:C997"/>
    <mergeCell ref="D996:D997"/>
    <mergeCell ref="N993:N994"/>
    <mergeCell ref="B993:B994"/>
    <mergeCell ref="C993:C994"/>
    <mergeCell ref="D993:D994"/>
    <mergeCell ref="E993:E994"/>
    <mergeCell ref="G993:G994"/>
    <mergeCell ref="H993:H994"/>
    <mergeCell ref="O996:O997"/>
    <mergeCell ref="B1006:B1007"/>
    <mergeCell ref="C1006:C1007"/>
    <mergeCell ref="D1006:D1007"/>
    <mergeCell ref="E1006:E1007"/>
    <mergeCell ref="F1006:F1007"/>
    <mergeCell ref="G1006:G1007"/>
    <mergeCell ref="H1006:H1007"/>
    <mergeCell ref="I996:I997"/>
    <mergeCell ref="J996:J997"/>
    <mergeCell ref="K1006:K1007"/>
    <mergeCell ref="L1006:L1007"/>
    <mergeCell ref="M996:M997"/>
    <mergeCell ref="N996:N997"/>
    <mergeCell ref="K996:K997"/>
    <mergeCell ref="L996:L997"/>
    <mergeCell ref="O1006:O1007"/>
    <mergeCell ref="A1009:A1010"/>
    <mergeCell ref="B1009:B1010"/>
    <mergeCell ref="C1009:C1010"/>
    <mergeCell ref="D1009:D1010"/>
    <mergeCell ref="E1009:E1010"/>
    <mergeCell ref="F1009:F1010"/>
    <mergeCell ref="G1009:G1010"/>
    <mergeCell ref="I1006:I1007"/>
    <mergeCell ref="J1006:J1007"/>
    <mergeCell ref="M1009:M1010"/>
    <mergeCell ref="N1009:N1010"/>
    <mergeCell ref="O1009:O1010"/>
    <mergeCell ref="H493:H494"/>
    <mergeCell ref="H1009:H1010"/>
    <mergeCell ref="J1009:J1010"/>
    <mergeCell ref="K1009:K1010"/>
    <mergeCell ref="L1009:L1010"/>
    <mergeCell ref="M1006:M1007"/>
    <mergeCell ref="N1006:N1007"/>
    <mergeCell ref="F519:F521"/>
    <mergeCell ref="A1017:A1018"/>
    <mergeCell ref="B1017:B1018"/>
    <mergeCell ref="C1017:C1018"/>
    <mergeCell ref="D1017:D1018"/>
    <mergeCell ref="E1017:E1018"/>
    <mergeCell ref="F1017:F1018"/>
    <mergeCell ref="E603:E604"/>
    <mergeCell ref="E619:E620"/>
    <mergeCell ref="E672:E673"/>
    <mergeCell ref="L1017:L1018"/>
    <mergeCell ref="M1017:M1018"/>
    <mergeCell ref="N1017:N1018"/>
    <mergeCell ref="O1017:O1018"/>
    <mergeCell ref="G1017:G1018"/>
    <mergeCell ref="H1017:H1018"/>
    <mergeCell ref="J1017:J1018"/>
    <mergeCell ref="K1017:K1018"/>
    <mergeCell ref="F1019:F1020"/>
    <mergeCell ref="G1019:G1020"/>
    <mergeCell ref="H1019:H1020"/>
    <mergeCell ref="I1019:I1020"/>
    <mergeCell ref="A1019:A1020"/>
    <mergeCell ref="C1019:C1020"/>
    <mergeCell ref="D1019:D1020"/>
    <mergeCell ref="E1019:E1020"/>
    <mergeCell ref="H1023:H1024"/>
    <mergeCell ref="J1023:J1024"/>
    <mergeCell ref="J1019:J1020"/>
    <mergeCell ref="K1019:K1020"/>
    <mergeCell ref="L1019:L1020"/>
    <mergeCell ref="M1019:M1020"/>
    <mergeCell ref="B1023:B1024"/>
    <mergeCell ref="C1023:C1024"/>
    <mergeCell ref="D1023:D1024"/>
    <mergeCell ref="E1023:E1024"/>
    <mergeCell ref="F1023:F1024"/>
    <mergeCell ref="G1023:G1024"/>
    <mergeCell ref="K1023:K1024"/>
    <mergeCell ref="L1023:L1024"/>
    <mergeCell ref="M1023:M1024"/>
    <mergeCell ref="N1023:N1024"/>
    <mergeCell ref="N1019:N1020"/>
    <mergeCell ref="O1019:O1020"/>
    <mergeCell ref="N1025:N1026"/>
    <mergeCell ref="O1025:O1026"/>
    <mergeCell ref="O1023:O1024"/>
    <mergeCell ref="B1025:B1026"/>
    <mergeCell ref="C1025:C1026"/>
    <mergeCell ref="D1025:D1026"/>
    <mergeCell ref="E1025:E1026"/>
    <mergeCell ref="F1025:F1026"/>
    <mergeCell ref="G1025:G1026"/>
    <mergeCell ref="H1025:H1026"/>
    <mergeCell ref="A1027:A1028"/>
    <mergeCell ref="B1027:B1028"/>
    <mergeCell ref="C1027:C1028"/>
    <mergeCell ref="D1027:D1028"/>
    <mergeCell ref="L1025:L1026"/>
    <mergeCell ref="M1025:M1026"/>
    <mergeCell ref="J1025:J1026"/>
    <mergeCell ref="K1025:K1026"/>
    <mergeCell ref="J1027:J1028"/>
    <mergeCell ref="K1027:K1028"/>
    <mergeCell ref="L1027:L1028"/>
    <mergeCell ref="M1027:M1028"/>
    <mergeCell ref="E1027:E1028"/>
    <mergeCell ref="F1027:F1028"/>
    <mergeCell ref="G1027:G1028"/>
    <mergeCell ref="H1027:H1028"/>
    <mergeCell ref="N1027:N1028"/>
    <mergeCell ref="O1027:O1028"/>
    <mergeCell ref="A1029:A1030"/>
    <mergeCell ref="B1029:B1030"/>
    <mergeCell ref="C1029:C1030"/>
    <mergeCell ref="D1029:D1030"/>
    <mergeCell ref="E1029:E1030"/>
    <mergeCell ref="F1029:F1030"/>
    <mergeCell ref="G1029:G1030"/>
    <mergeCell ref="H1029:H1030"/>
    <mergeCell ref="O1029:O1030"/>
    <mergeCell ref="A1031:A1032"/>
    <mergeCell ref="B1031:B1032"/>
    <mergeCell ref="C1031:C1032"/>
    <mergeCell ref="D1031:D1032"/>
    <mergeCell ref="E1031:E1032"/>
    <mergeCell ref="F1031:F1032"/>
    <mergeCell ref="G1031:G1032"/>
    <mergeCell ref="H1031:H1032"/>
    <mergeCell ref="J1029:J1030"/>
    <mergeCell ref="M1031:M1032"/>
    <mergeCell ref="E1033:E1034"/>
    <mergeCell ref="F1033:F1034"/>
    <mergeCell ref="G1033:G1034"/>
    <mergeCell ref="H1033:H1034"/>
    <mergeCell ref="N1029:N1030"/>
    <mergeCell ref="K1029:K1030"/>
    <mergeCell ref="L1029:L1030"/>
    <mergeCell ref="M1029:M1030"/>
    <mergeCell ref="A1033:A1034"/>
    <mergeCell ref="B1033:B1034"/>
    <mergeCell ref="C1033:C1034"/>
    <mergeCell ref="D1033:D1034"/>
    <mergeCell ref="J1031:J1032"/>
    <mergeCell ref="L1031:L1032"/>
    <mergeCell ref="O1033:O1034"/>
    <mergeCell ref="I524:I525"/>
    <mergeCell ref="H524:H525"/>
    <mergeCell ref="J1033:J1034"/>
    <mergeCell ref="K1033:K1034"/>
    <mergeCell ref="L1033:L1034"/>
    <mergeCell ref="M1033:M1034"/>
    <mergeCell ref="N1031:N1032"/>
    <mergeCell ref="O1031:O1032"/>
    <mergeCell ref="K1031:K1032"/>
    <mergeCell ref="N1033:N1034"/>
    <mergeCell ref="J1035:J1036"/>
    <mergeCell ref="K1035:K1036"/>
    <mergeCell ref="L1035:L1036"/>
    <mergeCell ref="M1035:M1036"/>
    <mergeCell ref="N1035:N1036"/>
    <mergeCell ref="G1037:G1038"/>
    <mergeCell ref="H1037:H1038"/>
    <mergeCell ref="J1037:J1038"/>
    <mergeCell ref="B1035:B1036"/>
    <mergeCell ref="C1035:C1036"/>
    <mergeCell ref="D1035:D1036"/>
    <mergeCell ref="L1037:L1038"/>
    <mergeCell ref="M1037:M1038"/>
    <mergeCell ref="N1037:N1038"/>
    <mergeCell ref="O1035:O1036"/>
    <mergeCell ref="A1037:A1038"/>
    <mergeCell ref="B1037:B1038"/>
    <mergeCell ref="C1037:C1038"/>
    <mergeCell ref="D1037:D1038"/>
    <mergeCell ref="E1037:E1038"/>
    <mergeCell ref="F1037:F1038"/>
    <mergeCell ref="O1037:O1038"/>
    <mergeCell ref="A1040:A1041"/>
    <mergeCell ref="C1040:C1041"/>
    <mergeCell ref="D1040:D1041"/>
    <mergeCell ref="E1040:E1041"/>
    <mergeCell ref="F1040:F1041"/>
    <mergeCell ref="G1040:G1041"/>
    <mergeCell ref="H1040:H1041"/>
    <mergeCell ref="I1040:I1041"/>
    <mergeCell ref="J1040:J1041"/>
    <mergeCell ref="N1040:N1041"/>
    <mergeCell ref="O1040:O1041"/>
    <mergeCell ref="A1044:A1045"/>
    <mergeCell ref="C1044:C1045"/>
    <mergeCell ref="D1044:D1045"/>
    <mergeCell ref="E1044:E1045"/>
    <mergeCell ref="K1040:K1041"/>
    <mergeCell ref="L1040:L1041"/>
    <mergeCell ref="M1040:M1041"/>
    <mergeCell ref="F1044:F1045"/>
    <mergeCell ref="F539:F540"/>
    <mergeCell ref="E539:E540"/>
    <mergeCell ref="J1044:J1045"/>
    <mergeCell ref="K1044:K1045"/>
    <mergeCell ref="L1044:L1045"/>
    <mergeCell ref="M1044:M1045"/>
    <mergeCell ref="G1044:G1045"/>
    <mergeCell ref="H1044:H1045"/>
    <mergeCell ref="I1044:I1045"/>
    <mergeCell ref="K1037:K1038"/>
    <mergeCell ref="A1050:A1051"/>
    <mergeCell ref="B1050:B1051"/>
    <mergeCell ref="C1050:C1051"/>
    <mergeCell ref="D1050:D1051"/>
    <mergeCell ref="N1044:N1045"/>
    <mergeCell ref="O1044:O1045"/>
    <mergeCell ref="O1050:O1051"/>
    <mergeCell ref="A1052:A1053"/>
    <mergeCell ref="B1052:B1053"/>
    <mergeCell ref="C1052:C1053"/>
    <mergeCell ref="D1052:D1053"/>
    <mergeCell ref="E1052:E1053"/>
    <mergeCell ref="F1052:F1053"/>
    <mergeCell ref="G1052:G1053"/>
    <mergeCell ref="H1050:H1051"/>
    <mergeCell ref="J1050:J1051"/>
    <mergeCell ref="H1052:H1053"/>
    <mergeCell ref="J1052:J1053"/>
    <mergeCell ref="K1052:K1053"/>
    <mergeCell ref="L1052:L1053"/>
    <mergeCell ref="M1050:M1051"/>
    <mergeCell ref="N1050:N1051"/>
    <mergeCell ref="K1050:K1051"/>
    <mergeCell ref="L1050:L1051"/>
    <mergeCell ref="M1052:M1053"/>
    <mergeCell ref="N1052:N1053"/>
    <mergeCell ref="O1052:O1053"/>
    <mergeCell ref="A1058:A1059"/>
    <mergeCell ref="B1058:B1059"/>
    <mergeCell ref="C1058:C1059"/>
    <mergeCell ref="D1058:D1059"/>
    <mergeCell ref="E1058:E1059"/>
    <mergeCell ref="F1058:F1059"/>
    <mergeCell ref="G1058:G1059"/>
    <mergeCell ref="O1058:O1059"/>
    <mergeCell ref="A1062:A1063"/>
    <mergeCell ref="B1062:B1063"/>
    <mergeCell ref="C1062:C1063"/>
    <mergeCell ref="D1062:D1063"/>
    <mergeCell ref="E1062:E1063"/>
    <mergeCell ref="F1062:F1063"/>
    <mergeCell ref="G1062:G1063"/>
    <mergeCell ref="H1058:H1059"/>
    <mergeCell ref="J1058:J1059"/>
    <mergeCell ref="K1062:K1063"/>
    <mergeCell ref="L1062:L1063"/>
    <mergeCell ref="M1058:M1059"/>
    <mergeCell ref="N1058:N1059"/>
    <mergeCell ref="K1058:K1059"/>
    <mergeCell ref="L1058:L1059"/>
    <mergeCell ref="O1062:O1063"/>
    <mergeCell ref="A1064:A1065"/>
    <mergeCell ref="C1064:C1065"/>
    <mergeCell ref="D1064:D1065"/>
    <mergeCell ref="E1064:E1065"/>
    <mergeCell ref="F1064:F1065"/>
    <mergeCell ref="G1064:G1065"/>
    <mergeCell ref="H1064:H1065"/>
    <mergeCell ref="H1062:H1063"/>
    <mergeCell ref="J1062:J1063"/>
    <mergeCell ref="M1064:M1065"/>
    <mergeCell ref="N1064:N1065"/>
    <mergeCell ref="O1064:O1065"/>
    <mergeCell ref="G539:G540"/>
    <mergeCell ref="I1064:I1065"/>
    <mergeCell ref="J1064:J1065"/>
    <mergeCell ref="K1064:K1065"/>
    <mergeCell ref="L1064:L1065"/>
    <mergeCell ref="M1062:M1063"/>
    <mergeCell ref="N1062:N1063"/>
    <mergeCell ref="A1067:A1068"/>
    <mergeCell ref="B1067:B1068"/>
    <mergeCell ref="C1067:C1068"/>
    <mergeCell ref="D1067:D1068"/>
    <mergeCell ref="G571:G572"/>
    <mergeCell ref="F571:F572"/>
    <mergeCell ref="E571:E572"/>
    <mergeCell ref="E585:E586"/>
    <mergeCell ref="F585:F586"/>
    <mergeCell ref="G585:G586"/>
    <mergeCell ref="H1069:H1070"/>
    <mergeCell ref="J1067:J1068"/>
    <mergeCell ref="K1067:K1068"/>
    <mergeCell ref="L1067:L1068"/>
    <mergeCell ref="M1067:M1068"/>
    <mergeCell ref="G1067:G1068"/>
    <mergeCell ref="H1067:H1068"/>
    <mergeCell ref="A1069:A1070"/>
    <mergeCell ref="B1069:B1070"/>
    <mergeCell ref="C1069:C1070"/>
    <mergeCell ref="D1069:D1070"/>
    <mergeCell ref="E1069:E1070"/>
    <mergeCell ref="F1069:F1070"/>
    <mergeCell ref="J1069:J1070"/>
    <mergeCell ref="K1069:K1070"/>
    <mergeCell ref="L1069:L1070"/>
    <mergeCell ref="M1069:M1070"/>
    <mergeCell ref="N1067:N1068"/>
    <mergeCell ref="O1067:O1068"/>
    <mergeCell ref="N1069:N1070"/>
    <mergeCell ref="O1069:O1070"/>
    <mergeCell ref="A1071:A1072"/>
    <mergeCell ref="B1071:B1072"/>
    <mergeCell ref="C1071:C1072"/>
    <mergeCell ref="D1071:D1072"/>
    <mergeCell ref="E1071:E1072"/>
    <mergeCell ref="F1071:F1072"/>
    <mergeCell ref="G1071:G1072"/>
    <mergeCell ref="H1071:H1072"/>
    <mergeCell ref="H1073:H1074"/>
    <mergeCell ref="I1073:I1074"/>
    <mergeCell ref="J1071:J1072"/>
    <mergeCell ref="K1071:K1072"/>
    <mergeCell ref="L1071:L1072"/>
    <mergeCell ref="M1071:M1072"/>
    <mergeCell ref="A1073:A1074"/>
    <mergeCell ref="C1073:C1074"/>
    <mergeCell ref="D1073:D1074"/>
    <mergeCell ref="E1073:E1074"/>
    <mergeCell ref="F1073:F1074"/>
    <mergeCell ref="G1073:G1074"/>
    <mergeCell ref="J1073:J1074"/>
    <mergeCell ref="K1073:K1074"/>
    <mergeCell ref="L1073:L1074"/>
    <mergeCell ref="M1073:M1074"/>
    <mergeCell ref="N1071:N1072"/>
    <mergeCell ref="O1071:O1072"/>
    <mergeCell ref="N1073:N1074"/>
    <mergeCell ref="O1073:O1074"/>
    <mergeCell ref="A1075:A1076"/>
    <mergeCell ref="B1075:B1076"/>
    <mergeCell ref="C1075:C1076"/>
    <mergeCell ref="D1075:D1076"/>
    <mergeCell ref="E1075:E1076"/>
    <mergeCell ref="F1075:F1076"/>
    <mergeCell ref="G1075:G1076"/>
    <mergeCell ref="H1075:H1076"/>
    <mergeCell ref="O1075:O1076"/>
    <mergeCell ref="A1077:A1078"/>
    <mergeCell ref="C1077:C1078"/>
    <mergeCell ref="D1077:D1078"/>
    <mergeCell ref="E1077:E1078"/>
    <mergeCell ref="F1077:F1078"/>
    <mergeCell ref="G1077:G1078"/>
    <mergeCell ref="H1077:H1078"/>
    <mergeCell ref="I1077:I1078"/>
    <mergeCell ref="J1075:J1076"/>
    <mergeCell ref="H1079:H1080"/>
    <mergeCell ref="J1077:J1078"/>
    <mergeCell ref="K1077:K1078"/>
    <mergeCell ref="L1077:L1078"/>
    <mergeCell ref="M1077:M1078"/>
    <mergeCell ref="N1075:N1076"/>
    <mergeCell ref="K1075:K1076"/>
    <mergeCell ref="L1075:L1076"/>
    <mergeCell ref="M1075:M1076"/>
    <mergeCell ref="K1079:K1080"/>
    <mergeCell ref="L1079:L1080"/>
    <mergeCell ref="I1079:I1080"/>
    <mergeCell ref="M1079:M1080"/>
    <mergeCell ref="N1077:N1078"/>
    <mergeCell ref="O1077:O1078"/>
    <mergeCell ref="A1082:A1083"/>
    <mergeCell ref="B1082:B1083"/>
    <mergeCell ref="C1082:C1083"/>
    <mergeCell ref="D1082:D1083"/>
    <mergeCell ref="H1082:H1083"/>
    <mergeCell ref="J1079:J1080"/>
    <mergeCell ref="A1079:A1080"/>
    <mergeCell ref="C1079:C1080"/>
    <mergeCell ref="D1079:D1080"/>
    <mergeCell ref="E1079:E1080"/>
    <mergeCell ref="N1082:N1083"/>
    <mergeCell ref="O1082:O1083"/>
    <mergeCell ref="G603:G604"/>
    <mergeCell ref="F603:F604"/>
    <mergeCell ref="J1082:J1083"/>
    <mergeCell ref="K1082:K1083"/>
    <mergeCell ref="L1082:L1083"/>
    <mergeCell ref="M1082:M1083"/>
    <mergeCell ref="N1079:N1080"/>
    <mergeCell ref="O1079:O1080"/>
    <mergeCell ref="H1086:H1087"/>
    <mergeCell ref="J1086:J1087"/>
    <mergeCell ref="K1086:K1087"/>
    <mergeCell ref="L1086:L1087"/>
    <mergeCell ref="A1086:A1087"/>
    <mergeCell ref="B1086:B1087"/>
    <mergeCell ref="C1086:C1087"/>
    <mergeCell ref="D1086:D1087"/>
    <mergeCell ref="M1086:M1087"/>
    <mergeCell ref="N1086:N1087"/>
    <mergeCell ref="O1086:O1087"/>
    <mergeCell ref="A1088:A1089"/>
    <mergeCell ref="B1088:B1089"/>
    <mergeCell ref="C1088:C1089"/>
    <mergeCell ref="D1088:D1089"/>
    <mergeCell ref="E1088:E1089"/>
    <mergeCell ref="F1088:F1089"/>
    <mergeCell ref="G1088:G1089"/>
    <mergeCell ref="O1088:O1089"/>
    <mergeCell ref="B1090:B1092"/>
    <mergeCell ref="C1090:C1092"/>
    <mergeCell ref="D1090:D1092"/>
    <mergeCell ref="E1090:E1092"/>
    <mergeCell ref="F1090:F1092"/>
    <mergeCell ref="G1090:G1092"/>
    <mergeCell ref="H1090:H1092"/>
    <mergeCell ref="H1088:H1089"/>
    <mergeCell ref="J1088:J1089"/>
    <mergeCell ref="I1090:I1092"/>
    <mergeCell ref="J1090:J1092"/>
    <mergeCell ref="K1090:K1092"/>
    <mergeCell ref="L1090:L1092"/>
    <mergeCell ref="M1088:M1089"/>
    <mergeCell ref="N1088:N1089"/>
    <mergeCell ref="K1088:K1089"/>
    <mergeCell ref="L1088:L1089"/>
    <mergeCell ref="M1090:M1092"/>
    <mergeCell ref="N1090:N1092"/>
    <mergeCell ref="O1090:O1092"/>
    <mergeCell ref="A1093:A1094"/>
    <mergeCell ref="B1093:B1094"/>
    <mergeCell ref="C1093:C1094"/>
    <mergeCell ref="D1093:D1094"/>
    <mergeCell ref="E1093:E1094"/>
    <mergeCell ref="F1093:F1094"/>
    <mergeCell ref="G1093:G1094"/>
    <mergeCell ref="O1093:O1094"/>
    <mergeCell ref="A1097:A1098"/>
    <mergeCell ref="B1097:B1098"/>
    <mergeCell ref="C1097:C1098"/>
    <mergeCell ref="D1097:D1098"/>
    <mergeCell ref="E1097:E1098"/>
    <mergeCell ref="F1097:F1098"/>
    <mergeCell ref="G1097:G1098"/>
    <mergeCell ref="H1093:H1094"/>
    <mergeCell ref="J1093:J1094"/>
    <mergeCell ref="K1097:K1098"/>
    <mergeCell ref="L1097:L1098"/>
    <mergeCell ref="M1093:M1094"/>
    <mergeCell ref="N1093:N1094"/>
    <mergeCell ref="K1093:K1094"/>
    <mergeCell ref="L1093:L1094"/>
    <mergeCell ref="M1097:M1098"/>
    <mergeCell ref="N1097:N1098"/>
    <mergeCell ref="O1097:O1098"/>
    <mergeCell ref="A1100:A1101"/>
    <mergeCell ref="B1100:B1101"/>
    <mergeCell ref="C1100:C1101"/>
    <mergeCell ref="D1100:D1101"/>
    <mergeCell ref="E1100:E1101"/>
    <mergeCell ref="F1100:F1101"/>
    <mergeCell ref="G1100:G1101"/>
    <mergeCell ref="I1097:I1098"/>
    <mergeCell ref="J1097:J1098"/>
    <mergeCell ref="M1100:M1101"/>
    <mergeCell ref="N1100:N1101"/>
    <mergeCell ref="O1100:O1101"/>
    <mergeCell ref="H1100:H1101"/>
    <mergeCell ref="J1100:J1101"/>
    <mergeCell ref="K1100:K1101"/>
    <mergeCell ref="L1100:L1101"/>
    <mergeCell ref="M1108:M1109"/>
    <mergeCell ref="E1108:E1109"/>
    <mergeCell ref="F1108:F1109"/>
    <mergeCell ref="G1108:G1109"/>
    <mergeCell ref="H1108:H1109"/>
    <mergeCell ref="A1108:A1109"/>
    <mergeCell ref="B1108:B1109"/>
    <mergeCell ref="C1108:C1109"/>
    <mergeCell ref="D1108:D1109"/>
    <mergeCell ref="N1108:N1109"/>
    <mergeCell ref="O1108:O1109"/>
    <mergeCell ref="E663:E664"/>
    <mergeCell ref="H635:H636"/>
    <mergeCell ref="G635:G636"/>
    <mergeCell ref="F635:F636"/>
    <mergeCell ref="E635:E636"/>
    <mergeCell ref="J1108:J1109"/>
    <mergeCell ref="K1108:K1109"/>
    <mergeCell ref="L1108:L1109"/>
    <mergeCell ref="H1118:H1119"/>
    <mergeCell ref="H1114:H1115"/>
    <mergeCell ref="J1114:J1115"/>
    <mergeCell ref="K1114:K1115"/>
    <mergeCell ref="L1114:L1115"/>
    <mergeCell ref="A1114:A1115"/>
    <mergeCell ref="B1114:B1115"/>
    <mergeCell ref="C1114:C1115"/>
    <mergeCell ref="D1114:D1115"/>
    <mergeCell ref="M1118:M1119"/>
    <mergeCell ref="M1114:M1115"/>
    <mergeCell ref="N1114:N1115"/>
    <mergeCell ref="O1114:O1115"/>
    <mergeCell ref="A1118:A1119"/>
    <mergeCell ref="C1118:C1119"/>
    <mergeCell ref="D1118:D1119"/>
    <mergeCell ref="E1118:E1119"/>
    <mergeCell ref="F1118:F1119"/>
    <mergeCell ref="G1118:G1119"/>
    <mergeCell ref="N1120:N1121"/>
    <mergeCell ref="N1118:N1119"/>
    <mergeCell ref="O1118:O1119"/>
    <mergeCell ref="G1120:G1121"/>
    <mergeCell ref="H1120:H1121"/>
    <mergeCell ref="I1120:I1121"/>
    <mergeCell ref="J1120:J1121"/>
    <mergeCell ref="J1118:J1119"/>
    <mergeCell ref="K1118:K1119"/>
    <mergeCell ref="L1118:L1119"/>
    <mergeCell ref="H1122:H1123"/>
    <mergeCell ref="I1122:I1123"/>
    <mergeCell ref="J1122:J1123"/>
    <mergeCell ref="K1120:K1121"/>
    <mergeCell ref="L1120:L1121"/>
    <mergeCell ref="M1120:M1121"/>
    <mergeCell ref="I1127:I1128"/>
    <mergeCell ref="M1122:M1123"/>
    <mergeCell ref="N1122:N1123"/>
    <mergeCell ref="O1120:O1121"/>
    <mergeCell ref="A1122:A1123"/>
    <mergeCell ref="C1122:C1123"/>
    <mergeCell ref="D1122:D1123"/>
    <mergeCell ref="E1122:E1123"/>
    <mergeCell ref="F1122:F1123"/>
    <mergeCell ref="G1122:G1123"/>
    <mergeCell ref="J1129:J1130"/>
    <mergeCell ref="N1127:N1128"/>
    <mergeCell ref="O1122:O1123"/>
    <mergeCell ref="A1127:A1128"/>
    <mergeCell ref="C1127:C1128"/>
    <mergeCell ref="D1127:D1128"/>
    <mergeCell ref="E1127:E1128"/>
    <mergeCell ref="F1127:F1128"/>
    <mergeCell ref="G1127:G1128"/>
    <mergeCell ref="H1127:H1128"/>
    <mergeCell ref="M1127:M1128"/>
    <mergeCell ref="O1127:O1128"/>
    <mergeCell ref="E1129:E1130"/>
    <mergeCell ref="A1129:A1130"/>
    <mergeCell ref="B1129:B1130"/>
    <mergeCell ref="C1129:C1130"/>
    <mergeCell ref="D1129:D1130"/>
    <mergeCell ref="F1129:F1130"/>
    <mergeCell ref="G1129:G1130"/>
    <mergeCell ref="H1129:H1130"/>
    <mergeCell ref="B1134:B1135"/>
    <mergeCell ref="C1134:C1135"/>
    <mergeCell ref="D1134:D1135"/>
    <mergeCell ref="I1134:I1135"/>
    <mergeCell ref="H1134:H1135"/>
    <mergeCell ref="G1134:G1135"/>
    <mergeCell ref="F1134:F1135"/>
    <mergeCell ref="N1134:N1135"/>
    <mergeCell ref="O1134:O1135"/>
    <mergeCell ref="K1129:K1130"/>
    <mergeCell ref="L1129:L1130"/>
    <mergeCell ref="J1127:J1128"/>
    <mergeCell ref="K1122:K1123"/>
    <mergeCell ref="L1122:L1123"/>
    <mergeCell ref="M1129:M1130"/>
    <mergeCell ref="K1127:K1128"/>
    <mergeCell ref="L1127:L1128"/>
    <mergeCell ref="B1136:B1137"/>
    <mergeCell ref="C1136:C1137"/>
    <mergeCell ref="D1136:D1137"/>
    <mergeCell ref="E1136:E1137"/>
    <mergeCell ref="O1129:O1130"/>
    <mergeCell ref="N1129:N1130"/>
    <mergeCell ref="J1134:J1135"/>
    <mergeCell ref="K1134:K1135"/>
    <mergeCell ref="L1134:L1135"/>
    <mergeCell ref="M1134:M1135"/>
    <mergeCell ref="J1136:J1137"/>
    <mergeCell ref="K1136:K1137"/>
    <mergeCell ref="L1136:L1137"/>
    <mergeCell ref="M1136:M1137"/>
    <mergeCell ref="F1136:F1137"/>
    <mergeCell ref="G1136:G1137"/>
    <mergeCell ref="H1136:H1137"/>
    <mergeCell ref="I1136:I1137"/>
    <mergeCell ref="M1138:M1139"/>
    <mergeCell ref="N1136:N1137"/>
    <mergeCell ref="O1136:O1137"/>
    <mergeCell ref="A1138:A1139"/>
    <mergeCell ref="C1138:C1139"/>
    <mergeCell ref="D1138:D1139"/>
    <mergeCell ref="E1138:E1139"/>
    <mergeCell ref="F1138:F1139"/>
    <mergeCell ref="G1138:G1139"/>
    <mergeCell ref="H1138:H1139"/>
    <mergeCell ref="F1140:F1141"/>
    <mergeCell ref="G1140:G1141"/>
    <mergeCell ref="H1140:H1141"/>
    <mergeCell ref="J1138:J1139"/>
    <mergeCell ref="K1138:K1139"/>
    <mergeCell ref="L1138:L1139"/>
    <mergeCell ref="I1138:I1139"/>
    <mergeCell ref="H1145:H1146"/>
    <mergeCell ref="I1145:I1146"/>
    <mergeCell ref="J1140:J1141"/>
    <mergeCell ref="N1138:N1139"/>
    <mergeCell ref="O1138:O1139"/>
    <mergeCell ref="A1140:A1141"/>
    <mergeCell ref="B1140:B1141"/>
    <mergeCell ref="C1140:C1141"/>
    <mergeCell ref="D1140:D1141"/>
    <mergeCell ref="E1140:E1141"/>
    <mergeCell ref="B1145:B1146"/>
    <mergeCell ref="C1145:C1146"/>
    <mergeCell ref="D1145:D1146"/>
    <mergeCell ref="E1145:E1146"/>
    <mergeCell ref="F1145:F1146"/>
    <mergeCell ref="G1145:G1146"/>
    <mergeCell ref="M1145:M1146"/>
    <mergeCell ref="N1140:N1141"/>
    <mergeCell ref="K1140:K1141"/>
    <mergeCell ref="L1140:L1141"/>
    <mergeCell ref="M1140:M1141"/>
    <mergeCell ref="O1140:O1141"/>
    <mergeCell ref="O1145:O1146"/>
    <mergeCell ref="A1147:A1148"/>
    <mergeCell ref="B1147:B1148"/>
    <mergeCell ref="C1147:C1148"/>
    <mergeCell ref="D1147:D1148"/>
    <mergeCell ref="G1147:G1148"/>
    <mergeCell ref="H1147:H1148"/>
    <mergeCell ref="J1145:J1146"/>
    <mergeCell ref="K1145:K1146"/>
    <mergeCell ref="L1145:L1146"/>
    <mergeCell ref="H703:H704"/>
    <mergeCell ref="I703:I704"/>
    <mergeCell ref="M1147:M1148"/>
    <mergeCell ref="N1147:N1148"/>
    <mergeCell ref="O1147:O1148"/>
    <mergeCell ref="I1147:I1148"/>
    <mergeCell ref="J1147:J1148"/>
    <mergeCell ref="K1147:K1148"/>
    <mergeCell ref="L1147:L1148"/>
    <mergeCell ref="N1145:N1146"/>
    <mergeCell ref="E1156:E1157"/>
    <mergeCell ref="H603:H604"/>
    <mergeCell ref="E710:E711"/>
    <mergeCell ref="I688:I689"/>
    <mergeCell ref="H688:H689"/>
    <mergeCell ref="G688:G689"/>
    <mergeCell ref="F688:F689"/>
    <mergeCell ref="E688:E689"/>
    <mergeCell ref="F703:F704"/>
    <mergeCell ref="G703:G704"/>
    <mergeCell ref="O1156:O1157"/>
    <mergeCell ref="H710:H711"/>
    <mergeCell ref="G710:G711"/>
    <mergeCell ref="J1156:J1157"/>
    <mergeCell ref="K1156:K1157"/>
    <mergeCell ref="L1156:L1157"/>
    <mergeCell ref="M1156:M1157"/>
    <mergeCell ref="G1156:G1157"/>
    <mergeCell ref="H1156:H1157"/>
    <mergeCell ref="I1156:I1157"/>
    <mergeCell ref="A1161:A1162"/>
    <mergeCell ref="B1161:B1162"/>
    <mergeCell ref="C1161:C1162"/>
    <mergeCell ref="D1161:D1162"/>
    <mergeCell ref="H1161:H1162"/>
    <mergeCell ref="N1156:N1157"/>
    <mergeCell ref="A1156:A1157"/>
    <mergeCell ref="C1156:C1157"/>
    <mergeCell ref="D1156:D1157"/>
    <mergeCell ref="F1156:F1157"/>
    <mergeCell ref="O1161:O1162"/>
    <mergeCell ref="A1165:A1166"/>
    <mergeCell ref="C1165:C1166"/>
    <mergeCell ref="D1165:D1166"/>
    <mergeCell ref="E1165:E1166"/>
    <mergeCell ref="F1165:F1166"/>
    <mergeCell ref="G1165:G1166"/>
    <mergeCell ref="H1165:H1166"/>
    <mergeCell ref="J1161:J1162"/>
    <mergeCell ref="K1161:K1162"/>
    <mergeCell ref="I1165:I1166"/>
    <mergeCell ref="J1165:J1166"/>
    <mergeCell ref="K1165:K1166"/>
    <mergeCell ref="L1165:L1166"/>
    <mergeCell ref="M1161:M1162"/>
    <mergeCell ref="N1161:N1162"/>
    <mergeCell ref="L1161:L1162"/>
    <mergeCell ref="M1165:M1166"/>
    <mergeCell ref="N1165:N1166"/>
    <mergeCell ref="O1165:O1166"/>
    <mergeCell ref="B1170:B1171"/>
    <mergeCell ref="C1170:C1171"/>
    <mergeCell ref="D1170:D1171"/>
    <mergeCell ref="E1170:E1171"/>
    <mergeCell ref="F1170:F1171"/>
    <mergeCell ref="G1170:G1171"/>
    <mergeCell ref="H1170:H1171"/>
    <mergeCell ref="O1170:O1171"/>
    <mergeCell ref="B1172:B1173"/>
    <mergeCell ref="C1172:C1173"/>
    <mergeCell ref="D1172:D1173"/>
    <mergeCell ref="E1172:E1173"/>
    <mergeCell ref="F1172:F1173"/>
    <mergeCell ref="G1172:G1173"/>
    <mergeCell ref="H1172:H1173"/>
    <mergeCell ref="I1170:I1171"/>
    <mergeCell ref="J1170:J1171"/>
    <mergeCell ref="I1172:I1173"/>
    <mergeCell ref="J1172:J1173"/>
    <mergeCell ref="K1172:K1173"/>
    <mergeCell ref="L1172:L1173"/>
    <mergeCell ref="M1170:M1171"/>
    <mergeCell ref="N1170:N1171"/>
    <mergeCell ref="K1170:K1171"/>
    <mergeCell ref="L1170:L1171"/>
    <mergeCell ref="H1174:H1176"/>
    <mergeCell ref="E1174:E1176"/>
    <mergeCell ref="F1174:F1176"/>
    <mergeCell ref="G1174:G1176"/>
    <mergeCell ref="A1174:A1176"/>
    <mergeCell ref="B1174:B1176"/>
    <mergeCell ref="C1174:C1176"/>
    <mergeCell ref="D1174:D1176"/>
    <mergeCell ref="E1147:E1148"/>
    <mergeCell ref="M1174:M1176"/>
    <mergeCell ref="O1174:O1176"/>
    <mergeCell ref="I739:I741"/>
    <mergeCell ref="H739:H741"/>
    <mergeCell ref="I1174:I1176"/>
    <mergeCell ref="J1174:J1176"/>
    <mergeCell ref="K1174:K1176"/>
    <mergeCell ref="M1172:M1173"/>
    <mergeCell ref="N1172:N1173"/>
    <mergeCell ref="O1172:O1173"/>
    <mergeCell ref="G783:G784"/>
    <mergeCell ref="F769:F770"/>
    <mergeCell ref="G769:G770"/>
    <mergeCell ref="F779:F780"/>
    <mergeCell ref="G779:G780"/>
    <mergeCell ref="F1067:F1068"/>
    <mergeCell ref="F843:F844"/>
    <mergeCell ref="H868:H869"/>
    <mergeCell ref="G868:G869"/>
    <mergeCell ref="E756:E757"/>
    <mergeCell ref="C1177:C1178"/>
    <mergeCell ref="D1177:D1178"/>
    <mergeCell ref="F788:F789"/>
    <mergeCell ref="E788:E789"/>
    <mergeCell ref="F1147:F1148"/>
    <mergeCell ref="C1120:C1121"/>
    <mergeCell ref="D1120:D1121"/>
    <mergeCell ref="E1120:E1121"/>
    <mergeCell ref="F1120:F1121"/>
    <mergeCell ref="K1177:K1178"/>
    <mergeCell ref="L1177:L1178"/>
    <mergeCell ref="L1184:L1185"/>
    <mergeCell ref="M1177:M1178"/>
    <mergeCell ref="M1184:M1185"/>
    <mergeCell ref="G1177:G1178"/>
    <mergeCell ref="H1177:H1178"/>
    <mergeCell ref="I1177:I1178"/>
    <mergeCell ref="J1177:J1178"/>
    <mergeCell ref="O1177:O1178"/>
    <mergeCell ref="N1177:N1178"/>
    <mergeCell ref="L1174:L1176"/>
    <mergeCell ref="C1184:C1185"/>
    <mergeCell ref="D1184:D1185"/>
    <mergeCell ref="E1184:E1185"/>
    <mergeCell ref="F1184:F1185"/>
    <mergeCell ref="G1184:G1185"/>
    <mergeCell ref="H1184:H1185"/>
    <mergeCell ref="I1184:I1185"/>
    <mergeCell ref="O1188:O1189"/>
    <mergeCell ref="J1188:J1189"/>
    <mergeCell ref="F1188:F1189"/>
    <mergeCell ref="N1184:N1185"/>
    <mergeCell ref="O1184:O1185"/>
    <mergeCell ref="G1188:G1189"/>
    <mergeCell ref="H1188:H1189"/>
    <mergeCell ref="I1188:I1189"/>
    <mergeCell ref="J1184:J1185"/>
    <mergeCell ref="K1184:K1185"/>
    <mergeCell ref="B1190:B1191"/>
    <mergeCell ref="C1190:C1191"/>
    <mergeCell ref="D1190:D1191"/>
    <mergeCell ref="E1190:E1191"/>
    <mergeCell ref="B1188:B1189"/>
    <mergeCell ref="C1188:C1189"/>
    <mergeCell ref="D1188:D1189"/>
    <mergeCell ref="L1190:L1191"/>
    <mergeCell ref="M1190:M1191"/>
    <mergeCell ref="N1188:N1189"/>
    <mergeCell ref="K1188:K1189"/>
    <mergeCell ref="L1188:L1189"/>
    <mergeCell ref="M1188:M1189"/>
    <mergeCell ref="E1192:E1193"/>
    <mergeCell ref="G1192:G1193"/>
    <mergeCell ref="H1192:H1193"/>
    <mergeCell ref="I1192:I1193"/>
    <mergeCell ref="J1190:J1191"/>
    <mergeCell ref="K1190:K1191"/>
    <mergeCell ref="F1190:F1191"/>
    <mergeCell ref="G1190:G1191"/>
    <mergeCell ref="H1190:H1191"/>
    <mergeCell ref="I1190:I1191"/>
    <mergeCell ref="N1192:N1193"/>
    <mergeCell ref="O1192:O1193"/>
    <mergeCell ref="H788:H789"/>
    <mergeCell ref="G788:G789"/>
    <mergeCell ref="J1192:J1193"/>
    <mergeCell ref="K1192:K1193"/>
    <mergeCell ref="L1192:L1193"/>
    <mergeCell ref="M1192:M1193"/>
    <mergeCell ref="N1190:N1191"/>
    <mergeCell ref="O1190:O1191"/>
    <mergeCell ref="O1194:O1195"/>
    <mergeCell ref="A1201:A1202"/>
    <mergeCell ref="C1201:C1202"/>
    <mergeCell ref="D1201:D1202"/>
    <mergeCell ref="E1201:E1202"/>
    <mergeCell ref="F1201:F1202"/>
    <mergeCell ref="G1201:G1202"/>
    <mergeCell ref="H1201:H1202"/>
    <mergeCell ref="I1194:I1195"/>
    <mergeCell ref="J1194:J1195"/>
    <mergeCell ref="I1201:I1202"/>
    <mergeCell ref="J1201:J1202"/>
    <mergeCell ref="K1201:K1202"/>
    <mergeCell ref="L1201:L1202"/>
    <mergeCell ref="M1194:M1195"/>
    <mergeCell ref="N1194:N1195"/>
    <mergeCell ref="K1194:K1195"/>
    <mergeCell ref="L1194:L1195"/>
    <mergeCell ref="M1201:M1202"/>
    <mergeCell ref="N1201:N1202"/>
    <mergeCell ref="O1201:O1202"/>
    <mergeCell ref="A1204:A1205"/>
    <mergeCell ref="C1204:C1205"/>
    <mergeCell ref="D1204:D1205"/>
    <mergeCell ref="E1204:E1205"/>
    <mergeCell ref="F1204:F1205"/>
    <mergeCell ref="G1204:G1205"/>
    <mergeCell ref="H1204:H1205"/>
    <mergeCell ref="O1204:O1205"/>
    <mergeCell ref="B1207:B1208"/>
    <mergeCell ref="C1207:C1208"/>
    <mergeCell ref="D1207:D1208"/>
    <mergeCell ref="E1207:E1208"/>
    <mergeCell ref="F1207:F1208"/>
    <mergeCell ref="G1207:G1208"/>
    <mergeCell ref="H1207:H1208"/>
    <mergeCell ref="I1204:I1205"/>
    <mergeCell ref="J1204:J1205"/>
    <mergeCell ref="K1207:K1208"/>
    <mergeCell ref="L1207:L1208"/>
    <mergeCell ref="M1204:M1205"/>
    <mergeCell ref="N1204:N1205"/>
    <mergeCell ref="K1204:K1205"/>
    <mergeCell ref="L1204:L1205"/>
    <mergeCell ref="O1207:O1208"/>
    <mergeCell ref="B1209:B1210"/>
    <mergeCell ref="C1209:C1210"/>
    <mergeCell ref="D1209:D1210"/>
    <mergeCell ref="E1209:E1210"/>
    <mergeCell ref="F1209:F1210"/>
    <mergeCell ref="G1209:G1210"/>
    <mergeCell ref="H1209:H1210"/>
    <mergeCell ref="I1207:I1208"/>
    <mergeCell ref="J1207:J1208"/>
    <mergeCell ref="M1209:M1210"/>
    <mergeCell ref="N1209:N1210"/>
    <mergeCell ref="O1209:O1210"/>
    <mergeCell ref="I788:I789"/>
    <mergeCell ref="I1209:I1210"/>
    <mergeCell ref="J1209:J1210"/>
    <mergeCell ref="K1209:K1210"/>
    <mergeCell ref="L1209:L1210"/>
    <mergeCell ref="M1207:M1208"/>
    <mergeCell ref="N1207:N1208"/>
    <mergeCell ref="H810:H811"/>
    <mergeCell ref="G810:G811"/>
    <mergeCell ref="F810:F811"/>
    <mergeCell ref="E810:E811"/>
    <mergeCell ref="B1194:B1195"/>
    <mergeCell ref="C1194:C1195"/>
    <mergeCell ref="D1194:D1195"/>
    <mergeCell ref="B1192:B1193"/>
    <mergeCell ref="C1192:C1193"/>
    <mergeCell ref="D1192:D1193"/>
    <mergeCell ref="N1212:N1213"/>
    <mergeCell ref="F1212:F1213"/>
    <mergeCell ref="G1212:G1213"/>
    <mergeCell ref="H1212:H1213"/>
    <mergeCell ref="J1212:J1213"/>
    <mergeCell ref="B1212:B1213"/>
    <mergeCell ref="C1212:C1213"/>
    <mergeCell ref="D1212:D1213"/>
    <mergeCell ref="H1218:H1219"/>
    <mergeCell ref="I1218:I1219"/>
    <mergeCell ref="J1218:J1219"/>
    <mergeCell ref="K1212:K1213"/>
    <mergeCell ref="L1212:L1213"/>
    <mergeCell ref="M1212:M1213"/>
    <mergeCell ref="L1218:L1219"/>
    <mergeCell ref="M1218:M1219"/>
    <mergeCell ref="N1218:N1219"/>
    <mergeCell ref="O1212:O1213"/>
    <mergeCell ref="A1218:A1219"/>
    <mergeCell ref="C1218:C1219"/>
    <mergeCell ref="D1218:D1219"/>
    <mergeCell ref="E1218:E1219"/>
    <mergeCell ref="F1218:F1219"/>
    <mergeCell ref="G1218:G1219"/>
    <mergeCell ref="N1220:N1221"/>
    <mergeCell ref="O1218:O1219"/>
    <mergeCell ref="A1220:A1221"/>
    <mergeCell ref="C1220:C1221"/>
    <mergeCell ref="D1220:D1221"/>
    <mergeCell ref="E1220:E1221"/>
    <mergeCell ref="F1220:F1221"/>
    <mergeCell ref="G1220:G1221"/>
    <mergeCell ref="H1220:H1221"/>
    <mergeCell ref="I1220:I1221"/>
    <mergeCell ref="O1220:O1221"/>
    <mergeCell ref="A1222:A1223"/>
    <mergeCell ref="B1222:B1223"/>
    <mergeCell ref="C1222:C1223"/>
    <mergeCell ref="D1222:D1223"/>
    <mergeCell ref="E1222:E1223"/>
    <mergeCell ref="F1222:F1223"/>
    <mergeCell ref="G1222:G1223"/>
    <mergeCell ref="H1222:H1223"/>
    <mergeCell ref="K1220:K1221"/>
    <mergeCell ref="A1224:A1226"/>
    <mergeCell ref="C1224:C1226"/>
    <mergeCell ref="D1224:D1226"/>
    <mergeCell ref="E1224:E1226"/>
    <mergeCell ref="F1224:F1226"/>
    <mergeCell ref="G1224:G1226"/>
    <mergeCell ref="E843:E844"/>
    <mergeCell ref="H822:H823"/>
    <mergeCell ref="G822:G823"/>
    <mergeCell ref="F822:F823"/>
    <mergeCell ref="E822:E823"/>
    <mergeCell ref="O1222:O1223"/>
    <mergeCell ref="K1222:K1223"/>
    <mergeCell ref="L1222:L1223"/>
    <mergeCell ref="M1222:M1223"/>
    <mergeCell ref="J1222:J1223"/>
    <mergeCell ref="B1229:B1230"/>
    <mergeCell ref="C1229:C1230"/>
    <mergeCell ref="D1229:D1230"/>
    <mergeCell ref="O1224:O1226"/>
    <mergeCell ref="K1224:K1226"/>
    <mergeCell ref="L1224:L1226"/>
    <mergeCell ref="M1224:M1226"/>
    <mergeCell ref="N1224:N1226"/>
    <mergeCell ref="J1229:J1230"/>
    <mergeCell ref="K1229:K1230"/>
    <mergeCell ref="D1232:D1233"/>
    <mergeCell ref="E1232:E1233"/>
    <mergeCell ref="L1229:L1230"/>
    <mergeCell ref="M1229:M1230"/>
    <mergeCell ref="F1232:F1233"/>
    <mergeCell ref="G1232:G1233"/>
    <mergeCell ref="H1232:H1233"/>
    <mergeCell ref="I1232:I1233"/>
    <mergeCell ref="I1229:I1230"/>
    <mergeCell ref="H1229:H1230"/>
    <mergeCell ref="H843:H844"/>
    <mergeCell ref="G843:G844"/>
    <mergeCell ref="J1232:J1233"/>
    <mergeCell ref="K1232:K1233"/>
    <mergeCell ref="L1232:L1233"/>
    <mergeCell ref="M1232:M1233"/>
    <mergeCell ref="G1229:G1230"/>
    <mergeCell ref="H1224:H1226"/>
    <mergeCell ref="I1224:I1226"/>
    <mergeCell ref="J1224:J1226"/>
    <mergeCell ref="H893:H894"/>
    <mergeCell ref="G893:G894"/>
    <mergeCell ref="F893:F894"/>
    <mergeCell ref="E893:E894"/>
    <mergeCell ref="N1232:N1233"/>
    <mergeCell ref="O1232:O1233"/>
    <mergeCell ref="N1229:N1230"/>
    <mergeCell ref="O1229:O1230"/>
    <mergeCell ref="F1229:F1230"/>
    <mergeCell ref="N1222:N1223"/>
    <mergeCell ref="A1245:A1246"/>
    <mergeCell ref="B1245:B1246"/>
    <mergeCell ref="C1245:C1246"/>
    <mergeCell ref="D1245:D1246"/>
    <mergeCell ref="E977:E978"/>
    <mergeCell ref="H959:H960"/>
    <mergeCell ref="G959:G960"/>
    <mergeCell ref="F959:F960"/>
    <mergeCell ref="A1232:A1233"/>
    <mergeCell ref="C1232:C1233"/>
    <mergeCell ref="J1245:J1246"/>
    <mergeCell ref="K1245:K1246"/>
    <mergeCell ref="L1245:L1246"/>
    <mergeCell ref="M1245:M1246"/>
    <mergeCell ref="H897:H898"/>
    <mergeCell ref="H1245:H1246"/>
    <mergeCell ref="L1220:L1221"/>
    <mergeCell ref="M1220:M1221"/>
    <mergeCell ref="J1220:J1221"/>
    <mergeCell ref="K1218:K1219"/>
    <mergeCell ref="N1245:N1246"/>
    <mergeCell ref="O1245:O1246"/>
    <mergeCell ref="A1247:A1248"/>
    <mergeCell ref="C1247:C1248"/>
    <mergeCell ref="D1247:D1248"/>
    <mergeCell ref="E1247:E1248"/>
    <mergeCell ref="F1247:F1248"/>
    <mergeCell ref="G1247:G1248"/>
    <mergeCell ref="H1247:H1248"/>
    <mergeCell ref="I1247:I1248"/>
    <mergeCell ref="O1247:O1248"/>
    <mergeCell ref="C1249:C1250"/>
    <mergeCell ref="D1249:D1250"/>
    <mergeCell ref="E1249:E1250"/>
    <mergeCell ref="F1249:F1250"/>
    <mergeCell ref="G1249:G1250"/>
    <mergeCell ref="H1249:H1250"/>
    <mergeCell ref="I1249:I1250"/>
    <mergeCell ref="J1247:J1248"/>
    <mergeCell ref="K1247:K1248"/>
    <mergeCell ref="K1249:K1250"/>
    <mergeCell ref="L1249:L1250"/>
    <mergeCell ref="M1249:M1250"/>
    <mergeCell ref="J1249:J1250"/>
    <mergeCell ref="N1249:N1250"/>
    <mergeCell ref="N1247:N1248"/>
    <mergeCell ref="L1247:L1248"/>
    <mergeCell ref="M1247:M1248"/>
    <mergeCell ref="O1249:O1250"/>
    <mergeCell ref="A1256:A1257"/>
    <mergeCell ref="B1256:B1257"/>
    <mergeCell ref="C1256:C1257"/>
    <mergeCell ref="D1256:D1257"/>
    <mergeCell ref="E1256:E1257"/>
    <mergeCell ref="F1256:F1257"/>
    <mergeCell ref="G1256:G1257"/>
    <mergeCell ref="H1256:H1257"/>
    <mergeCell ref="J1256:J1257"/>
    <mergeCell ref="E945:E946"/>
    <mergeCell ref="I930:I931"/>
    <mergeCell ref="H930:H931"/>
    <mergeCell ref="G930:G931"/>
    <mergeCell ref="F930:F931"/>
    <mergeCell ref="E930:E931"/>
    <mergeCell ref="H941:H942"/>
    <mergeCell ref="A1259:A1260"/>
    <mergeCell ref="C1259:C1260"/>
    <mergeCell ref="D1259:D1260"/>
    <mergeCell ref="F1259:F1260"/>
    <mergeCell ref="E1259:E1260"/>
    <mergeCell ref="O1256:O1257"/>
    <mergeCell ref="K1256:K1257"/>
    <mergeCell ref="L1256:L1257"/>
    <mergeCell ref="M1256:M1257"/>
    <mergeCell ref="N1256:N1257"/>
    <mergeCell ref="G1261:G1262"/>
    <mergeCell ref="H1261:H1262"/>
    <mergeCell ref="J1259:J1260"/>
    <mergeCell ref="K1259:K1260"/>
    <mergeCell ref="L1259:L1260"/>
    <mergeCell ref="M1259:M1260"/>
    <mergeCell ref="A1261:A1262"/>
    <mergeCell ref="B1261:B1262"/>
    <mergeCell ref="C1261:C1262"/>
    <mergeCell ref="D1261:D1262"/>
    <mergeCell ref="E1261:E1262"/>
    <mergeCell ref="F1261:F1262"/>
    <mergeCell ref="J1261:J1262"/>
    <mergeCell ref="K1261:K1262"/>
    <mergeCell ref="L1261:L1262"/>
    <mergeCell ref="M1261:M1262"/>
    <mergeCell ref="N1259:N1260"/>
    <mergeCell ref="O1259:O1260"/>
    <mergeCell ref="O1266:O1267"/>
    <mergeCell ref="G945:G946"/>
    <mergeCell ref="F945:F946"/>
    <mergeCell ref="J1266:J1267"/>
    <mergeCell ref="K1266:K1267"/>
    <mergeCell ref="L1266:L1267"/>
    <mergeCell ref="M1266:M1267"/>
    <mergeCell ref="N1261:N1262"/>
    <mergeCell ref="O1261:O1262"/>
    <mergeCell ref="F1266:F1267"/>
    <mergeCell ref="N1266:N1267"/>
    <mergeCell ref="A1266:A1267"/>
    <mergeCell ref="C1266:C1267"/>
    <mergeCell ref="D1266:D1267"/>
    <mergeCell ref="E1266:E1267"/>
    <mergeCell ref="G1266:G1267"/>
    <mergeCell ref="H1266:H1267"/>
    <mergeCell ref="I1266:I1267"/>
    <mergeCell ref="I1277:I1278"/>
    <mergeCell ref="J1277:J1278"/>
    <mergeCell ref="K1277:K1278"/>
    <mergeCell ref="L1277:L1278"/>
    <mergeCell ref="A1277:A1278"/>
    <mergeCell ref="C1277:C1278"/>
    <mergeCell ref="D1277:D1278"/>
    <mergeCell ref="M1277:M1278"/>
    <mergeCell ref="N1277:N1278"/>
    <mergeCell ref="O1277:O1278"/>
    <mergeCell ref="A1280:A1281"/>
    <mergeCell ref="B1280:B1281"/>
    <mergeCell ref="C1280:C1281"/>
    <mergeCell ref="D1280:D1281"/>
    <mergeCell ref="E1280:E1281"/>
    <mergeCell ref="F1280:F1281"/>
    <mergeCell ref="G1280:G1281"/>
    <mergeCell ref="O1280:O1281"/>
    <mergeCell ref="A1283:A1284"/>
    <mergeCell ref="B1283:B1284"/>
    <mergeCell ref="C1283:C1284"/>
    <mergeCell ref="D1283:D1284"/>
    <mergeCell ref="E1283:E1284"/>
    <mergeCell ref="F1283:F1284"/>
    <mergeCell ref="G1283:G1284"/>
    <mergeCell ref="H1280:H1281"/>
    <mergeCell ref="J1280:J1281"/>
    <mergeCell ref="K1283:K1284"/>
    <mergeCell ref="L1283:L1284"/>
    <mergeCell ref="M1280:M1281"/>
    <mergeCell ref="N1280:N1281"/>
    <mergeCell ref="K1280:K1281"/>
    <mergeCell ref="L1280:L1281"/>
    <mergeCell ref="O1283:O1284"/>
    <mergeCell ref="A1285:A1286"/>
    <mergeCell ref="B1285:B1286"/>
    <mergeCell ref="C1285:C1286"/>
    <mergeCell ref="D1285:D1286"/>
    <mergeCell ref="E1285:E1286"/>
    <mergeCell ref="F1285:F1286"/>
    <mergeCell ref="G1285:G1286"/>
    <mergeCell ref="H1283:H1284"/>
    <mergeCell ref="J1283:J1284"/>
    <mergeCell ref="M1285:M1286"/>
    <mergeCell ref="N1285:N1286"/>
    <mergeCell ref="O1285:O1286"/>
    <mergeCell ref="H945:H946"/>
    <mergeCell ref="H1285:H1286"/>
    <mergeCell ref="J1285:J1286"/>
    <mergeCell ref="K1285:K1286"/>
    <mergeCell ref="L1285:L1286"/>
    <mergeCell ref="M1283:M1284"/>
    <mergeCell ref="N1283:N1284"/>
    <mergeCell ref="E959:E960"/>
    <mergeCell ref="F977:F978"/>
    <mergeCell ref="G977:G978"/>
    <mergeCell ref="H977:H978"/>
    <mergeCell ref="F969:F970"/>
    <mergeCell ref="G969:G970"/>
    <mergeCell ref="H969:H970"/>
    <mergeCell ref="F966:F967"/>
    <mergeCell ref="G966:G967"/>
    <mergeCell ref="H966:H967"/>
    <mergeCell ref="M1287:M1288"/>
    <mergeCell ref="E1287:E1288"/>
    <mergeCell ref="F1287:F1288"/>
    <mergeCell ref="G1287:G1288"/>
    <mergeCell ref="H1287:H1288"/>
    <mergeCell ref="A1287:A1288"/>
    <mergeCell ref="B1287:B1288"/>
    <mergeCell ref="C1287:C1288"/>
    <mergeCell ref="D1287:D1288"/>
    <mergeCell ref="G1289:G1290"/>
    <mergeCell ref="H1289:H1290"/>
    <mergeCell ref="I1289:I1290"/>
    <mergeCell ref="J1287:J1288"/>
    <mergeCell ref="K1287:K1288"/>
    <mergeCell ref="L1287:L1288"/>
    <mergeCell ref="K1289:K1290"/>
    <mergeCell ref="L1289:L1290"/>
    <mergeCell ref="M1289:M1290"/>
    <mergeCell ref="N1287:N1288"/>
    <mergeCell ref="O1287:O1288"/>
    <mergeCell ref="A1289:A1290"/>
    <mergeCell ref="C1289:C1290"/>
    <mergeCell ref="D1289:D1290"/>
    <mergeCell ref="E1289:E1290"/>
    <mergeCell ref="F1289:F1290"/>
    <mergeCell ref="N1289:N1290"/>
    <mergeCell ref="O1289:O1290"/>
    <mergeCell ref="A1295:A1296"/>
    <mergeCell ref="C1295:C1296"/>
    <mergeCell ref="D1295:D1296"/>
    <mergeCell ref="E1295:E1296"/>
    <mergeCell ref="F1295:F1296"/>
    <mergeCell ref="G1295:G1296"/>
    <mergeCell ref="H1295:H1296"/>
    <mergeCell ref="J1289:J1290"/>
    <mergeCell ref="G1301:G1302"/>
    <mergeCell ref="H1301:H1302"/>
    <mergeCell ref="J1295:J1296"/>
    <mergeCell ref="K1295:K1296"/>
    <mergeCell ref="L1295:L1296"/>
    <mergeCell ref="I1295:I1296"/>
    <mergeCell ref="A1301:A1302"/>
    <mergeCell ref="B1301:B1302"/>
    <mergeCell ref="C1301:C1302"/>
    <mergeCell ref="D1301:D1302"/>
    <mergeCell ref="E1301:E1302"/>
    <mergeCell ref="F1301:F1302"/>
    <mergeCell ref="J1301:J1302"/>
    <mergeCell ref="K1301:K1302"/>
    <mergeCell ref="L1301:L1302"/>
    <mergeCell ref="M1301:M1302"/>
    <mergeCell ref="N1295:N1296"/>
    <mergeCell ref="O1295:O1296"/>
    <mergeCell ref="M1295:M1296"/>
    <mergeCell ref="N1301:N1302"/>
    <mergeCell ref="O1301:O1302"/>
    <mergeCell ref="A1305:A1306"/>
    <mergeCell ref="C1305:C1306"/>
    <mergeCell ref="D1305:D1306"/>
    <mergeCell ref="E1305:E1306"/>
    <mergeCell ref="F1305:F1306"/>
    <mergeCell ref="G1305:G1306"/>
    <mergeCell ref="H1305:H1306"/>
    <mergeCell ref="I1305:I1306"/>
    <mergeCell ref="O1305:O1306"/>
    <mergeCell ref="E1035:E1036"/>
    <mergeCell ref="H996:H997"/>
    <mergeCell ref="G996:G997"/>
    <mergeCell ref="F996:F997"/>
    <mergeCell ref="E996:E997"/>
    <mergeCell ref="J1305:J1306"/>
    <mergeCell ref="K1305:K1306"/>
    <mergeCell ref="L1305:L1306"/>
    <mergeCell ref="M1305:M1306"/>
    <mergeCell ref="N1305:N1306"/>
    <mergeCell ref="I1309:I1310"/>
    <mergeCell ref="J1309:J1310"/>
    <mergeCell ref="K1309:K1310"/>
    <mergeCell ref="L1309:L1310"/>
    <mergeCell ref="M1309:M1310"/>
    <mergeCell ref="N1309:N1310"/>
    <mergeCell ref="F1312:F1313"/>
    <mergeCell ref="G1312:G1313"/>
    <mergeCell ref="H1312:H1313"/>
    <mergeCell ref="J1312:J1313"/>
    <mergeCell ref="A1309:A1310"/>
    <mergeCell ref="C1309:C1310"/>
    <mergeCell ref="D1309:D1310"/>
    <mergeCell ref="K1312:K1313"/>
    <mergeCell ref="L1312:L1313"/>
    <mergeCell ref="M1312:M1313"/>
    <mergeCell ref="N1312:N1313"/>
    <mergeCell ref="O1309:O1310"/>
    <mergeCell ref="A1312:A1313"/>
    <mergeCell ref="B1312:B1313"/>
    <mergeCell ref="C1312:C1313"/>
    <mergeCell ref="D1312:D1313"/>
    <mergeCell ref="E1312:E1313"/>
    <mergeCell ref="N1314:N1315"/>
    <mergeCell ref="O1314:O1315"/>
    <mergeCell ref="O1312:O1313"/>
    <mergeCell ref="C1314:C1315"/>
    <mergeCell ref="D1314:D1315"/>
    <mergeCell ref="E1314:E1315"/>
    <mergeCell ref="F1314:F1315"/>
    <mergeCell ref="G1314:G1315"/>
    <mergeCell ref="H1314:H1315"/>
    <mergeCell ref="I1314:I1315"/>
    <mergeCell ref="A1317:A1318"/>
    <mergeCell ref="B1317:B1318"/>
    <mergeCell ref="C1317:C1318"/>
    <mergeCell ref="D1317:D1318"/>
    <mergeCell ref="L1314:L1315"/>
    <mergeCell ref="M1314:M1315"/>
    <mergeCell ref="J1314:J1315"/>
    <mergeCell ref="K1314:K1315"/>
    <mergeCell ref="J1317:J1318"/>
    <mergeCell ref="K1317:K1318"/>
    <mergeCell ref="L1317:L1318"/>
    <mergeCell ref="M1317:M1318"/>
    <mergeCell ref="E1317:E1318"/>
    <mergeCell ref="F1317:F1318"/>
    <mergeCell ref="G1317:G1318"/>
    <mergeCell ref="H1317:H1318"/>
    <mergeCell ref="L1323:L1324"/>
    <mergeCell ref="M1323:M1324"/>
    <mergeCell ref="N1317:N1318"/>
    <mergeCell ref="O1317:O1318"/>
    <mergeCell ref="A1323:A1324"/>
    <mergeCell ref="B1323:B1324"/>
    <mergeCell ref="C1323:C1324"/>
    <mergeCell ref="D1323:D1324"/>
    <mergeCell ref="E1323:E1324"/>
    <mergeCell ref="F1323:F1324"/>
    <mergeCell ref="A1325:A1326"/>
    <mergeCell ref="C1325:C1326"/>
    <mergeCell ref="D1325:D1326"/>
    <mergeCell ref="E1325:E1326"/>
    <mergeCell ref="J1323:J1324"/>
    <mergeCell ref="K1323:K1324"/>
    <mergeCell ref="G1323:G1324"/>
    <mergeCell ref="H1323:H1324"/>
    <mergeCell ref="O1325:O1326"/>
    <mergeCell ref="G1035:G1036"/>
    <mergeCell ref="F1035:F1036"/>
    <mergeCell ref="J1325:J1326"/>
    <mergeCell ref="K1325:K1326"/>
    <mergeCell ref="L1325:L1326"/>
    <mergeCell ref="M1325:M1326"/>
    <mergeCell ref="N1323:N1324"/>
    <mergeCell ref="O1323:O1324"/>
    <mergeCell ref="F1325:F1326"/>
    <mergeCell ref="N1325:N1326"/>
    <mergeCell ref="G1325:G1326"/>
    <mergeCell ref="H1325:H1326"/>
    <mergeCell ref="I1325:I1326"/>
    <mergeCell ref="G1328:G1329"/>
    <mergeCell ref="F1328:F1329"/>
    <mergeCell ref="O1328:O1329"/>
    <mergeCell ref="A1335:A1337"/>
    <mergeCell ref="C1335:C1337"/>
    <mergeCell ref="D1335:D1337"/>
    <mergeCell ref="E1335:E1337"/>
    <mergeCell ref="F1335:F1337"/>
    <mergeCell ref="G1335:G1337"/>
    <mergeCell ref="H1335:H1337"/>
    <mergeCell ref="I1328:I1329"/>
    <mergeCell ref="J1328:J1329"/>
    <mergeCell ref="K1335:K1337"/>
    <mergeCell ref="L1335:L1337"/>
    <mergeCell ref="M1328:M1329"/>
    <mergeCell ref="N1328:N1329"/>
    <mergeCell ref="K1328:K1329"/>
    <mergeCell ref="L1328:L1329"/>
    <mergeCell ref="O1335:O1337"/>
    <mergeCell ref="A1338:A1339"/>
    <mergeCell ref="C1338:C1339"/>
    <mergeCell ref="D1338:D1339"/>
    <mergeCell ref="E1338:E1339"/>
    <mergeCell ref="F1338:F1339"/>
    <mergeCell ref="G1338:G1339"/>
    <mergeCell ref="H1338:H1339"/>
    <mergeCell ref="I1335:I1337"/>
    <mergeCell ref="J1335:J1337"/>
    <mergeCell ref="M1338:M1339"/>
    <mergeCell ref="N1338:N1339"/>
    <mergeCell ref="O1338:O1339"/>
    <mergeCell ref="H1035:H1036"/>
    <mergeCell ref="I1338:I1339"/>
    <mergeCell ref="J1338:J1339"/>
    <mergeCell ref="K1338:K1339"/>
    <mergeCell ref="L1338:L1339"/>
    <mergeCell ref="M1335:M1337"/>
    <mergeCell ref="N1335:N1337"/>
    <mergeCell ref="G1050:G1051"/>
    <mergeCell ref="F1050:F1051"/>
    <mergeCell ref="E1050:E1051"/>
    <mergeCell ref="E1082:E1083"/>
    <mergeCell ref="F1082:F1083"/>
    <mergeCell ref="G1082:G1083"/>
    <mergeCell ref="E1067:E1068"/>
    <mergeCell ref="F1079:F1080"/>
    <mergeCell ref="G1079:G1080"/>
    <mergeCell ref="G1069:G1070"/>
    <mergeCell ref="A1341:A1342"/>
    <mergeCell ref="B1341:B1342"/>
    <mergeCell ref="C1341:C1342"/>
    <mergeCell ref="D1341:D1342"/>
    <mergeCell ref="G1086:G1087"/>
    <mergeCell ref="F1086:F1087"/>
    <mergeCell ref="E1086:E1087"/>
    <mergeCell ref="B1328:B1329"/>
    <mergeCell ref="C1328:C1329"/>
    <mergeCell ref="D1328:D1329"/>
    <mergeCell ref="J1341:J1342"/>
    <mergeCell ref="K1341:K1342"/>
    <mergeCell ref="L1341:L1342"/>
    <mergeCell ref="M1341:M1342"/>
    <mergeCell ref="E1341:E1342"/>
    <mergeCell ref="F1341:F1342"/>
    <mergeCell ref="G1341:G1342"/>
    <mergeCell ref="I1341:I1342"/>
    <mergeCell ref="N1341:N1342"/>
    <mergeCell ref="O1341:O1342"/>
    <mergeCell ref="A1343:A1344"/>
    <mergeCell ref="B1343:B1344"/>
    <mergeCell ref="C1343:C1344"/>
    <mergeCell ref="D1343:D1344"/>
    <mergeCell ref="E1343:E1344"/>
    <mergeCell ref="F1343:F1344"/>
    <mergeCell ref="G1343:G1344"/>
    <mergeCell ref="H1343:H1344"/>
    <mergeCell ref="A1350:A1351"/>
    <mergeCell ref="B1350:B1351"/>
    <mergeCell ref="C1350:C1351"/>
    <mergeCell ref="D1350:D1351"/>
    <mergeCell ref="J1343:J1344"/>
    <mergeCell ref="K1343:K1344"/>
    <mergeCell ref="L1350:L1351"/>
    <mergeCell ref="M1350:M1351"/>
    <mergeCell ref="N1343:N1344"/>
    <mergeCell ref="O1343:O1344"/>
    <mergeCell ref="N1350:N1351"/>
    <mergeCell ref="O1350:O1351"/>
    <mergeCell ref="L1343:L1344"/>
    <mergeCell ref="M1343:M1344"/>
    <mergeCell ref="F1352:F1353"/>
    <mergeCell ref="G1352:G1353"/>
    <mergeCell ref="I1352:I1353"/>
    <mergeCell ref="J1352:J1353"/>
    <mergeCell ref="A1352:A1353"/>
    <mergeCell ref="C1352:C1353"/>
    <mergeCell ref="D1352:D1353"/>
    <mergeCell ref="E1352:E1353"/>
    <mergeCell ref="G1114:G1115"/>
    <mergeCell ref="F1114:F1115"/>
    <mergeCell ref="E1114:E1115"/>
    <mergeCell ref="K1352:K1353"/>
    <mergeCell ref="J1350:J1351"/>
    <mergeCell ref="K1350:K1351"/>
    <mergeCell ref="E1350:E1351"/>
    <mergeCell ref="F1350:F1351"/>
    <mergeCell ref="G1350:G1351"/>
    <mergeCell ref="H1350:H1351"/>
    <mergeCell ref="A1356:A1357"/>
    <mergeCell ref="C1356:C1357"/>
    <mergeCell ref="D1356:D1357"/>
    <mergeCell ref="O1352:O1353"/>
    <mergeCell ref="L1352:L1353"/>
    <mergeCell ref="M1352:M1353"/>
    <mergeCell ref="N1352:N1353"/>
    <mergeCell ref="J1356:J1357"/>
    <mergeCell ref="K1356:K1357"/>
    <mergeCell ref="L1356:L1357"/>
    <mergeCell ref="M1356:M1357"/>
    <mergeCell ref="N1356:N1357"/>
    <mergeCell ref="O1356:O1357"/>
    <mergeCell ref="A1358:A1359"/>
    <mergeCell ref="C1358:C1359"/>
    <mergeCell ref="D1358:D1359"/>
    <mergeCell ref="E1358:E1359"/>
    <mergeCell ref="F1358:F1359"/>
    <mergeCell ref="G1358:G1359"/>
    <mergeCell ref="H1358:H1359"/>
    <mergeCell ref="N1358:N1359"/>
    <mergeCell ref="O1358:O1359"/>
    <mergeCell ref="A1360:A1361"/>
    <mergeCell ref="B1360:B1361"/>
    <mergeCell ref="C1360:C1361"/>
    <mergeCell ref="D1360:D1361"/>
    <mergeCell ref="E1360:E1361"/>
    <mergeCell ref="F1360:F1361"/>
    <mergeCell ref="G1360:G1361"/>
    <mergeCell ref="I1358:I1359"/>
    <mergeCell ref="I1363:I1364"/>
    <mergeCell ref="J1363:J1364"/>
    <mergeCell ref="J1360:J1361"/>
    <mergeCell ref="K1360:K1361"/>
    <mergeCell ref="L1360:L1361"/>
    <mergeCell ref="M1358:M1359"/>
    <mergeCell ref="J1358:J1359"/>
    <mergeCell ref="K1358:K1359"/>
    <mergeCell ref="L1358:L1359"/>
    <mergeCell ref="M1360:M1361"/>
    <mergeCell ref="A1363:A1364"/>
    <mergeCell ref="C1363:C1364"/>
    <mergeCell ref="D1363:D1364"/>
    <mergeCell ref="E1363:E1364"/>
    <mergeCell ref="F1363:F1364"/>
    <mergeCell ref="G1363:G1364"/>
    <mergeCell ref="K1363:K1364"/>
    <mergeCell ref="L1363:L1364"/>
    <mergeCell ref="M1363:M1364"/>
    <mergeCell ref="N1363:N1364"/>
    <mergeCell ref="N1360:N1361"/>
    <mergeCell ref="O1360:O1361"/>
    <mergeCell ref="O1363:O1364"/>
    <mergeCell ref="A1366:A1367"/>
    <mergeCell ref="C1366:C1367"/>
    <mergeCell ref="D1366:D1367"/>
    <mergeCell ref="E1366:E1367"/>
    <mergeCell ref="F1366:F1367"/>
    <mergeCell ref="G1366:G1367"/>
    <mergeCell ref="H1366:H1367"/>
    <mergeCell ref="I1366:I1367"/>
    <mergeCell ref="J1366:J1367"/>
    <mergeCell ref="G1368:G1369"/>
    <mergeCell ref="H1368:H1369"/>
    <mergeCell ref="J1368:J1369"/>
    <mergeCell ref="K1366:K1367"/>
    <mergeCell ref="L1366:L1367"/>
    <mergeCell ref="M1366:M1367"/>
    <mergeCell ref="L1368:L1369"/>
    <mergeCell ref="M1368:M1369"/>
    <mergeCell ref="K1368:K1369"/>
    <mergeCell ref="N1368:N1369"/>
    <mergeCell ref="O1366:O1367"/>
    <mergeCell ref="N1366:N1367"/>
    <mergeCell ref="O1368:O1369"/>
    <mergeCell ref="A1368:A1369"/>
    <mergeCell ref="B1368:B1369"/>
    <mergeCell ref="C1368:C1369"/>
    <mergeCell ref="D1368:D1369"/>
    <mergeCell ref="E1368:E1369"/>
    <mergeCell ref="F1368:F1369"/>
    <mergeCell ref="G1370:G1371"/>
    <mergeCell ref="M1370:M1371"/>
    <mergeCell ref="J1370:J1371"/>
    <mergeCell ref="A1370:A1371"/>
    <mergeCell ref="B1370:B1371"/>
    <mergeCell ref="C1370:C1371"/>
    <mergeCell ref="D1370:D1371"/>
    <mergeCell ref="N1372:N1373"/>
    <mergeCell ref="O1370:O1371"/>
    <mergeCell ref="O1372:O1373"/>
    <mergeCell ref="J1372:J1373"/>
    <mergeCell ref="K1370:K1371"/>
    <mergeCell ref="L1370:L1371"/>
    <mergeCell ref="N1370:N1371"/>
    <mergeCell ref="L1372:L1373"/>
    <mergeCell ref="M1372:M1373"/>
    <mergeCell ref="F1194:F1195"/>
    <mergeCell ref="E1194:E1195"/>
    <mergeCell ref="E1188:E1189"/>
    <mergeCell ref="F1177:F1178"/>
    <mergeCell ref="E1177:E1178"/>
    <mergeCell ref="F1192:F1193"/>
    <mergeCell ref="E1370:E1371"/>
    <mergeCell ref="F1370:F1371"/>
    <mergeCell ref="A1374:A1375"/>
    <mergeCell ref="B1374:B1375"/>
    <mergeCell ref="C1374:C1375"/>
    <mergeCell ref="D1374:D1375"/>
    <mergeCell ref="E1134:E1135"/>
    <mergeCell ref="K1372:K1373"/>
    <mergeCell ref="A1372:A1373"/>
    <mergeCell ref="B1372:B1373"/>
    <mergeCell ref="C1372:C1373"/>
    <mergeCell ref="D1372:D1373"/>
    <mergeCell ref="H1377:H1378"/>
    <mergeCell ref="I1377:I1378"/>
    <mergeCell ref="J1374:J1375"/>
    <mergeCell ref="K1374:K1375"/>
    <mergeCell ref="L1374:L1375"/>
    <mergeCell ref="M1374:M1375"/>
    <mergeCell ref="A1377:A1378"/>
    <mergeCell ref="C1377:C1378"/>
    <mergeCell ref="D1377:D1378"/>
    <mergeCell ref="E1377:E1378"/>
    <mergeCell ref="F1377:F1378"/>
    <mergeCell ref="G1377:G1378"/>
    <mergeCell ref="J1377:J1378"/>
    <mergeCell ref="K1377:K1378"/>
    <mergeCell ref="L1377:L1378"/>
    <mergeCell ref="M1377:M1378"/>
    <mergeCell ref="N1374:N1375"/>
    <mergeCell ref="O1374:O1375"/>
    <mergeCell ref="N1377:N1378"/>
    <mergeCell ref="O1377:O1378"/>
    <mergeCell ref="A1379:A1380"/>
    <mergeCell ref="B1379:B1380"/>
    <mergeCell ref="C1379:C1380"/>
    <mergeCell ref="D1379:D1380"/>
    <mergeCell ref="E1379:E1380"/>
    <mergeCell ref="F1379:F1380"/>
    <mergeCell ref="G1379:G1380"/>
    <mergeCell ref="H1379:H1380"/>
    <mergeCell ref="H1382:H1383"/>
    <mergeCell ref="I1382:I1383"/>
    <mergeCell ref="J1379:J1380"/>
    <mergeCell ref="K1379:K1380"/>
    <mergeCell ref="L1379:L1380"/>
    <mergeCell ref="M1379:M1380"/>
    <mergeCell ref="A1382:A1383"/>
    <mergeCell ref="C1382:C1383"/>
    <mergeCell ref="D1382:D1383"/>
    <mergeCell ref="E1382:E1383"/>
    <mergeCell ref="F1382:F1383"/>
    <mergeCell ref="G1382:G1383"/>
    <mergeCell ref="N1382:N1383"/>
    <mergeCell ref="O1382:O1383"/>
    <mergeCell ref="F1161:F1162"/>
    <mergeCell ref="E1161:E1162"/>
    <mergeCell ref="J1382:J1383"/>
    <mergeCell ref="K1382:K1383"/>
    <mergeCell ref="L1382:L1383"/>
    <mergeCell ref="M1382:M1383"/>
    <mergeCell ref="N1379:N1380"/>
    <mergeCell ref="O1379:O1380"/>
    <mergeCell ref="H1390:H1391"/>
    <mergeCell ref="J1390:J1391"/>
    <mergeCell ref="K1390:K1391"/>
    <mergeCell ref="L1390:L1391"/>
    <mergeCell ref="A1390:A1391"/>
    <mergeCell ref="B1390:B1391"/>
    <mergeCell ref="C1390:C1391"/>
    <mergeCell ref="D1390:D1391"/>
    <mergeCell ref="M1390:M1391"/>
    <mergeCell ref="N1390:N1391"/>
    <mergeCell ref="O1390:O1391"/>
    <mergeCell ref="A1394:A1395"/>
    <mergeCell ref="B1394:B1395"/>
    <mergeCell ref="C1394:C1395"/>
    <mergeCell ref="D1394:D1395"/>
    <mergeCell ref="E1394:E1395"/>
    <mergeCell ref="F1394:F1395"/>
    <mergeCell ref="G1394:G1395"/>
    <mergeCell ref="O1394:O1395"/>
    <mergeCell ref="A1397:A1398"/>
    <mergeCell ref="B1397:B1398"/>
    <mergeCell ref="C1397:C1398"/>
    <mergeCell ref="D1397:D1398"/>
    <mergeCell ref="E1397:E1398"/>
    <mergeCell ref="F1397:F1398"/>
    <mergeCell ref="G1397:G1398"/>
    <mergeCell ref="H1394:H1395"/>
    <mergeCell ref="J1394:J1395"/>
    <mergeCell ref="H1397:H1398"/>
    <mergeCell ref="J1397:J1398"/>
    <mergeCell ref="K1397:K1398"/>
    <mergeCell ref="L1397:L1398"/>
    <mergeCell ref="M1394:M1395"/>
    <mergeCell ref="N1394:N1395"/>
    <mergeCell ref="K1394:K1395"/>
    <mergeCell ref="L1394:L1395"/>
    <mergeCell ref="M1397:M1398"/>
    <mergeCell ref="N1397:N1398"/>
    <mergeCell ref="O1397:O1398"/>
    <mergeCell ref="A1399:A1400"/>
    <mergeCell ref="B1399:B1400"/>
    <mergeCell ref="C1399:C1400"/>
    <mergeCell ref="D1399:D1400"/>
    <mergeCell ref="E1399:E1400"/>
    <mergeCell ref="F1399:F1400"/>
    <mergeCell ref="G1399:G1400"/>
    <mergeCell ref="O1399:O1400"/>
    <mergeCell ref="A1402:A1403"/>
    <mergeCell ref="C1402:C1403"/>
    <mergeCell ref="D1402:D1403"/>
    <mergeCell ref="E1402:E1403"/>
    <mergeCell ref="F1402:F1403"/>
    <mergeCell ref="G1402:G1403"/>
    <mergeCell ref="H1402:H1403"/>
    <mergeCell ref="H1399:H1400"/>
    <mergeCell ref="J1399:J1400"/>
    <mergeCell ref="K1402:K1403"/>
    <mergeCell ref="L1402:L1403"/>
    <mergeCell ref="M1399:M1400"/>
    <mergeCell ref="N1399:N1400"/>
    <mergeCell ref="K1399:K1400"/>
    <mergeCell ref="L1399:L1400"/>
    <mergeCell ref="O1402:O1403"/>
    <mergeCell ref="A1404:A1405"/>
    <mergeCell ref="B1404:B1405"/>
    <mergeCell ref="C1404:C1405"/>
    <mergeCell ref="D1404:D1405"/>
    <mergeCell ref="E1404:E1405"/>
    <mergeCell ref="F1404:F1405"/>
    <mergeCell ref="G1404:G1405"/>
    <mergeCell ref="I1402:I1403"/>
    <mergeCell ref="J1402:J1403"/>
    <mergeCell ref="M1404:M1405"/>
    <mergeCell ref="N1404:N1405"/>
    <mergeCell ref="O1404:O1405"/>
    <mergeCell ref="G1161:G1162"/>
    <mergeCell ref="H1404:H1405"/>
    <mergeCell ref="J1404:J1405"/>
    <mergeCell ref="K1404:K1405"/>
    <mergeCell ref="L1404:L1405"/>
    <mergeCell ref="M1402:M1403"/>
    <mergeCell ref="N1402:N1403"/>
    <mergeCell ref="E1408:E1409"/>
    <mergeCell ref="F1408:F1409"/>
    <mergeCell ref="G1408:G1409"/>
    <mergeCell ref="H1408:H1409"/>
    <mergeCell ref="A1408:A1409"/>
    <mergeCell ref="B1408:B1409"/>
    <mergeCell ref="C1408:C1409"/>
    <mergeCell ref="D1408:D1409"/>
    <mergeCell ref="G1410:G1411"/>
    <mergeCell ref="H1410:H1411"/>
    <mergeCell ref="J1408:J1409"/>
    <mergeCell ref="K1408:K1409"/>
    <mergeCell ref="L1408:L1409"/>
    <mergeCell ref="M1408:M1409"/>
    <mergeCell ref="A1410:A1411"/>
    <mergeCell ref="B1410:B1411"/>
    <mergeCell ref="C1410:C1411"/>
    <mergeCell ref="D1410:D1411"/>
    <mergeCell ref="E1410:E1411"/>
    <mergeCell ref="F1410:F1411"/>
    <mergeCell ref="J1410:J1411"/>
    <mergeCell ref="K1410:K1411"/>
    <mergeCell ref="L1410:L1411"/>
    <mergeCell ref="M1410:M1411"/>
    <mergeCell ref="N1408:N1409"/>
    <mergeCell ref="O1408:O1409"/>
    <mergeCell ref="N1410:N1411"/>
    <mergeCell ref="O1410:O1411"/>
    <mergeCell ref="A1412:A1413"/>
    <mergeCell ref="B1412:B1413"/>
    <mergeCell ref="C1412:C1413"/>
    <mergeCell ref="D1412:D1413"/>
    <mergeCell ref="E1412:E1413"/>
    <mergeCell ref="F1412:F1413"/>
    <mergeCell ref="G1412:G1413"/>
    <mergeCell ref="H1412:H1413"/>
    <mergeCell ref="G1414:G1415"/>
    <mergeCell ref="H1414:H1415"/>
    <mergeCell ref="J1412:J1413"/>
    <mergeCell ref="K1412:K1413"/>
    <mergeCell ref="L1412:L1413"/>
    <mergeCell ref="M1412:M1413"/>
    <mergeCell ref="A1414:A1415"/>
    <mergeCell ref="B1414:B1415"/>
    <mergeCell ref="C1414:C1415"/>
    <mergeCell ref="D1414:D1415"/>
    <mergeCell ref="E1414:E1415"/>
    <mergeCell ref="F1414:F1415"/>
    <mergeCell ref="J1414:J1415"/>
    <mergeCell ref="K1414:K1415"/>
    <mergeCell ref="L1414:L1415"/>
    <mergeCell ref="M1414:M1415"/>
    <mergeCell ref="N1412:N1413"/>
    <mergeCell ref="O1412:O1413"/>
    <mergeCell ref="N1414:N1415"/>
    <mergeCell ref="O1414:O1415"/>
    <mergeCell ref="A1416:A1417"/>
    <mergeCell ref="B1416:B1417"/>
    <mergeCell ref="C1416:C1417"/>
    <mergeCell ref="D1416:D1417"/>
    <mergeCell ref="E1416:E1417"/>
    <mergeCell ref="F1416:F1417"/>
    <mergeCell ref="G1416:G1417"/>
    <mergeCell ref="H1416:H1417"/>
    <mergeCell ref="G1418:G1419"/>
    <mergeCell ref="H1418:H1419"/>
    <mergeCell ref="J1416:J1417"/>
    <mergeCell ref="K1416:K1417"/>
    <mergeCell ref="L1416:L1417"/>
    <mergeCell ref="M1416:M1417"/>
    <mergeCell ref="A1418:A1419"/>
    <mergeCell ref="B1418:B1419"/>
    <mergeCell ref="C1418:C1419"/>
    <mergeCell ref="D1418:D1419"/>
    <mergeCell ref="E1418:E1419"/>
    <mergeCell ref="F1418:F1419"/>
    <mergeCell ref="J1418:J1419"/>
    <mergeCell ref="K1418:K1419"/>
    <mergeCell ref="L1418:L1419"/>
    <mergeCell ref="M1418:M1419"/>
    <mergeCell ref="N1416:N1417"/>
    <mergeCell ref="O1416:O1417"/>
    <mergeCell ref="M1420:M1421"/>
    <mergeCell ref="N1420:N1421"/>
    <mergeCell ref="N1418:N1419"/>
    <mergeCell ref="O1418:O1419"/>
    <mergeCell ref="B1420:B1421"/>
    <mergeCell ref="C1420:C1421"/>
    <mergeCell ref="D1420:D1421"/>
    <mergeCell ref="E1420:E1421"/>
    <mergeCell ref="F1420:F1421"/>
    <mergeCell ref="G1420:G1421"/>
    <mergeCell ref="F1422:F1423"/>
    <mergeCell ref="G1422:G1423"/>
    <mergeCell ref="H1422:H1423"/>
    <mergeCell ref="J1422:J1423"/>
    <mergeCell ref="K1420:K1421"/>
    <mergeCell ref="L1420:L1421"/>
    <mergeCell ref="H1420:H1421"/>
    <mergeCell ref="J1420:J1421"/>
    <mergeCell ref="K1422:K1423"/>
    <mergeCell ref="L1422:L1423"/>
    <mergeCell ref="M1422:M1423"/>
    <mergeCell ref="N1422:N1423"/>
    <mergeCell ref="O1420:O1421"/>
    <mergeCell ref="A1422:A1423"/>
    <mergeCell ref="B1422:B1423"/>
    <mergeCell ref="C1422:C1423"/>
    <mergeCell ref="D1422:D1423"/>
    <mergeCell ref="E1422:E1423"/>
    <mergeCell ref="O1422:O1423"/>
    <mergeCell ref="A1424:A1425"/>
    <mergeCell ref="C1424:C1425"/>
    <mergeCell ref="D1424:D1425"/>
    <mergeCell ref="E1424:E1425"/>
    <mergeCell ref="F1424:F1425"/>
    <mergeCell ref="G1424:G1425"/>
    <mergeCell ref="H1424:H1425"/>
    <mergeCell ref="J1424:J1425"/>
    <mergeCell ref="K1424:K1425"/>
    <mergeCell ref="A1426:A1427"/>
    <mergeCell ref="B1426:B1427"/>
    <mergeCell ref="C1426:C1427"/>
    <mergeCell ref="D1426:D1427"/>
    <mergeCell ref="N1424:N1425"/>
    <mergeCell ref="O1424:O1425"/>
    <mergeCell ref="O1426:O1427"/>
    <mergeCell ref="H1194:H1195"/>
    <mergeCell ref="G1194:G1195"/>
    <mergeCell ref="J1426:J1427"/>
    <mergeCell ref="K1426:K1427"/>
    <mergeCell ref="L1426:L1427"/>
    <mergeCell ref="M1426:M1427"/>
    <mergeCell ref="L1424:L1425"/>
    <mergeCell ref="M1424:M1425"/>
    <mergeCell ref="G1426:G1427"/>
    <mergeCell ref="B1428:B1429"/>
    <mergeCell ref="C1428:C1429"/>
    <mergeCell ref="D1428:D1429"/>
    <mergeCell ref="N1426:N1427"/>
    <mergeCell ref="E1426:E1427"/>
    <mergeCell ref="F1426:F1427"/>
    <mergeCell ref="H1426:H1427"/>
    <mergeCell ref="N1428:N1429"/>
    <mergeCell ref="H1428:H1429"/>
    <mergeCell ref="G1428:G1429"/>
    <mergeCell ref="O1428:O1429"/>
    <mergeCell ref="A1430:A1431"/>
    <mergeCell ref="B1430:B1431"/>
    <mergeCell ref="C1430:C1431"/>
    <mergeCell ref="D1430:D1431"/>
    <mergeCell ref="E1430:E1431"/>
    <mergeCell ref="F1430:F1431"/>
    <mergeCell ref="G1430:G1431"/>
    <mergeCell ref="I1428:I1429"/>
    <mergeCell ref="J1430:J1431"/>
    <mergeCell ref="K1430:K1431"/>
    <mergeCell ref="L1430:L1431"/>
    <mergeCell ref="M1428:M1429"/>
    <mergeCell ref="J1428:J1429"/>
    <mergeCell ref="K1428:K1429"/>
    <mergeCell ref="L1428:L1429"/>
    <mergeCell ref="M1430:M1431"/>
    <mergeCell ref="N1430:N1431"/>
    <mergeCell ref="O1430:O1431"/>
    <mergeCell ref="A1432:A1433"/>
    <mergeCell ref="C1432:C1433"/>
    <mergeCell ref="D1432:D1433"/>
    <mergeCell ref="E1432:E1433"/>
    <mergeCell ref="F1432:F1433"/>
    <mergeCell ref="G1432:G1433"/>
    <mergeCell ref="H1432:H1433"/>
    <mergeCell ref="I1432:I1433"/>
    <mergeCell ref="H1437:H1438"/>
    <mergeCell ref="I1437:I1438"/>
    <mergeCell ref="J1432:J1433"/>
    <mergeCell ref="K1432:K1433"/>
    <mergeCell ref="L1432:L1433"/>
    <mergeCell ref="M1432:M1433"/>
    <mergeCell ref="A1437:A1438"/>
    <mergeCell ref="C1437:C1438"/>
    <mergeCell ref="D1437:D1438"/>
    <mergeCell ref="E1437:E1438"/>
    <mergeCell ref="F1437:F1438"/>
    <mergeCell ref="G1437:G1438"/>
    <mergeCell ref="J1437:J1438"/>
    <mergeCell ref="K1437:K1438"/>
    <mergeCell ref="L1437:L1438"/>
    <mergeCell ref="M1437:M1438"/>
    <mergeCell ref="N1432:N1433"/>
    <mergeCell ref="O1432:O1433"/>
    <mergeCell ref="N1437:N1438"/>
    <mergeCell ref="O1437:O1438"/>
    <mergeCell ref="A1439:A1440"/>
    <mergeCell ref="C1439:C1440"/>
    <mergeCell ref="D1439:D1440"/>
    <mergeCell ref="E1439:E1440"/>
    <mergeCell ref="F1439:F1440"/>
    <mergeCell ref="G1439:G1440"/>
    <mergeCell ref="H1439:H1440"/>
    <mergeCell ref="I1439:I1440"/>
    <mergeCell ref="H1441:H1442"/>
    <mergeCell ref="I1441:I1442"/>
    <mergeCell ref="J1439:J1440"/>
    <mergeCell ref="K1439:K1440"/>
    <mergeCell ref="L1439:L1440"/>
    <mergeCell ref="M1439:M1440"/>
    <mergeCell ref="L1441:L1442"/>
    <mergeCell ref="M1441:M1442"/>
    <mergeCell ref="N1439:N1440"/>
    <mergeCell ref="O1439:O1440"/>
    <mergeCell ref="A1441:A1442"/>
    <mergeCell ref="C1441:C1442"/>
    <mergeCell ref="D1441:D1442"/>
    <mergeCell ref="E1441:E1442"/>
    <mergeCell ref="F1441:F1442"/>
    <mergeCell ref="G1441:G1442"/>
    <mergeCell ref="O1441:O1442"/>
    <mergeCell ref="A1443:A1444"/>
    <mergeCell ref="C1443:C1444"/>
    <mergeCell ref="D1443:D1444"/>
    <mergeCell ref="E1443:E1444"/>
    <mergeCell ref="F1443:F1444"/>
    <mergeCell ref="G1443:G1444"/>
    <mergeCell ref="H1443:H1444"/>
    <mergeCell ref="O1443:O1444"/>
    <mergeCell ref="J1441:J1442"/>
    <mergeCell ref="A1445:A1446"/>
    <mergeCell ref="B1445:B1446"/>
    <mergeCell ref="C1445:C1446"/>
    <mergeCell ref="D1445:D1446"/>
    <mergeCell ref="H1445:H1446"/>
    <mergeCell ref="E1445:E1446"/>
    <mergeCell ref="F1445:F1446"/>
    <mergeCell ref="G1445:G1446"/>
    <mergeCell ref="A1447:A1448"/>
    <mergeCell ref="B1447:B1448"/>
    <mergeCell ref="C1447:C1448"/>
    <mergeCell ref="D1447:D1448"/>
    <mergeCell ref="N1443:N1444"/>
    <mergeCell ref="K1443:K1444"/>
    <mergeCell ref="L1443:L1444"/>
    <mergeCell ref="J1443:J1444"/>
    <mergeCell ref="K1445:K1446"/>
    <mergeCell ref="L1445:L1446"/>
    <mergeCell ref="O1447:O1448"/>
    <mergeCell ref="E1212:E1213"/>
    <mergeCell ref="H1447:H1448"/>
    <mergeCell ref="J1447:J1448"/>
    <mergeCell ref="K1447:K1448"/>
    <mergeCell ref="L1447:L1448"/>
    <mergeCell ref="M1445:M1446"/>
    <mergeCell ref="N1445:N1446"/>
    <mergeCell ref="O1445:O1446"/>
    <mergeCell ref="M1443:M1444"/>
    <mergeCell ref="E1229:E1230"/>
    <mergeCell ref="E1245:E1246"/>
    <mergeCell ref="F1245:F1246"/>
    <mergeCell ref="G1245:G1246"/>
    <mergeCell ref="M1447:M1448"/>
    <mergeCell ref="N1447:N1448"/>
    <mergeCell ref="J1445:J1446"/>
    <mergeCell ref="I1443:I1444"/>
    <mergeCell ref="N1441:N1442"/>
    <mergeCell ref="K1441:K1442"/>
    <mergeCell ref="J1452:J1453"/>
    <mergeCell ref="K1452:K1453"/>
    <mergeCell ref="L1452:L1453"/>
    <mergeCell ref="M1452:M1453"/>
    <mergeCell ref="I1452:I1453"/>
    <mergeCell ref="A1452:A1453"/>
    <mergeCell ref="C1452:C1453"/>
    <mergeCell ref="D1452:D1453"/>
    <mergeCell ref="E1452:E1453"/>
    <mergeCell ref="H1452:H1453"/>
    <mergeCell ref="N1452:N1453"/>
    <mergeCell ref="O1452:O1453"/>
    <mergeCell ref="A1455:A1456"/>
    <mergeCell ref="B1455:B1456"/>
    <mergeCell ref="C1455:C1456"/>
    <mergeCell ref="D1455:D1456"/>
    <mergeCell ref="E1455:E1456"/>
    <mergeCell ref="F1455:F1456"/>
    <mergeCell ref="G1455:G1456"/>
    <mergeCell ref="H1455:H1456"/>
    <mergeCell ref="H1459:H1460"/>
    <mergeCell ref="I1459:I1460"/>
    <mergeCell ref="J1455:J1456"/>
    <mergeCell ref="K1455:K1456"/>
    <mergeCell ref="L1455:L1456"/>
    <mergeCell ref="M1455:M1456"/>
    <mergeCell ref="A1459:A1460"/>
    <mergeCell ref="C1459:C1460"/>
    <mergeCell ref="D1459:D1460"/>
    <mergeCell ref="E1459:E1460"/>
    <mergeCell ref="F1459:F1460"/>
    <mergeCell ref="G1459:G1460"/>
    <mergeCell ref="J1459:J1460"/>
    <mergeCell ref="K1459:K1460"/>
    <mergeCell ref="L1459:L1460"/>
    <mergeCell ref="M1459:M1460"/>
    <mergeCell ref="N1455:N1456"/>
    <mergeCell ref="O1455:O1456"/>
    <mergeCell ref="N1459:N1460"/>
    <mergeCell ref="O1459:O1460"/>
    <mergeCell ref="A1461:A1462"/>
    <mergeCell ref="C1461:C1462"/>
    <mergeCell ref="D1461:D1462"/>
    <mergeCell ref="E1461:E1462"/>
    <mergeCell ref="F1461:F1462"/>
    <mergeCell ref="G1461:G1462"/>
    <mergeCell ref="H1461:H1462"/>
    <mergeCell ref="I1461:I1462"/>
    <mergeCell ref="N1461:N1462"/>
    <mergeCell ref="O1461:O1462"/>
    <mergeCell ref="A1464:A1465"/>
    <mergeCell ref="C1464:C1465"/>
    <mergeCell ref="D1464:D1465"/>
    <mergeCell ref="E1464:E1465"/>
    <mergeCell ref="F1464:F1465"/>
    <mergeCell ref="G1464:G1465"/>
    <mergeCell ref="H1464:H1465"/>
    <mergeCell ref="I1464:I1465"/>
    <mergeCell ref="H1259:H1260"/>
    <mergeCell ref="G1259:G1260"/>
    <mergeCell ref="J1464:J1465"/>
    <mergeCell ref="K1464:K1465"/>
    <mergeCell ref="L1464:L1465"/>
    <mergeCell ref="M1464:M1465"/>
    <mergeCell ref="J1461:J1462"/>
    <mergeCell ref="K1461:K1462"/>
    <mergeCell ref="L1461:L1462"/>
    <mergeCell ref="M1461:M1462"/>
    <mergeCell ref="A1466:A1467"/>
    <mergeCell ref="B1466:B1467"/>
    <mergeCell ref="C1466:C1467"/>
    <mergeCell ref="D1466:D1467"/>
    <mergeCell ref="N1464:N1465"/>
    <mergeCell ref="O1464:O1465"/>
    <mergeCell ref="N1466:N1467"/>
    <mergeCell ref="O1466:O1467"/>
    <mergeCell ref="A1468:A1469"/>
    <mergeCell ref="B1468:B1469"/>
    <mergeCell ref="C1468:C1469"/>
    <mergeCell ref="D1468:D1469"/>
    <mergeCell ref="E1468:E1469"/>
    <mergeCell ref="F1468:F1469"/>
    <mergeCell ref="G1468:G1469"/>
    <mergeCell ref="H1466:H1467"/>
    <mergeCell ref="G1471:G1472"/>
    <mergeCell ref="H1468:H1469"/>
    <mergeCell ref="J1468:J1469"/>
    <mergeCell ref="K1468:K1469"/>
    <mergeCell ref="L1468:L1469"/>
    <mergeCell ref="M1466:M1467"/>
    <mergeCell ref="J1466:J1467"/>
    <mergeCell ref="K1466:K1467"/>
    <mergeCell ref="L1466:L1467"/>
    <mergeCell ref="A1471:A1472"/>
    <mergeCell ref="B1471:B1472"/>
    <mergeCell ref="C1471:C1472"/>
    <mergeCell ref="D1471:D1472"/>
    <mergeCell ref="E1471:E1472"/>
    <mergeCell ref="F1471:F1472"/>
    <mergeCell ref="J1471:J1472"/>
    <mergeCell ref="K1471:K1472"/>
    <mergeCell ref="L1471:L1472"/>
    <mergeCell ref="M1468:M1469"/>
    <mergeCell ref="N1468:N1469"/>
    <mergeCell ref="O1468:O1469"/>
    <mergeCell ref="K1473:K1474"/>
    <mergeCell ref="L1473:L1474"/>
    <mergeCell ref="M1471:M1472"/>
    <mergeCell ref="N1471:N1472"/>
    <mergeCell ref="O1471:O1472"/>
    <mergeCell ref="A1473:A1474"/>
    <mergeCell ref="B1473:B1474"/>
    <mergeCell ref="C1473:C1474"/>
    <mergeCell ref="D1473:D1474"/>
    <mergeCell ref="E1473:E1474"/>
    <mergeCell ref="M1473:M1474"/>
    <mergeCell ref="N1473:N1474"/>
    <mergeCell ref="O1473:O1474"/>
    <mergeCell ref="A1475:A1476"/>
    <mergeCell ref="B1475:B1476"/>
    <mergeCell ref="C1475:C1476"/>
    <mergeCell ref="D1475:D1476"/>
    <mergeCell ref="E1475:E1476"/>
    <mergeCell ref="F1475:F1476"/>
    <mergeCell ref="G1475:G1476"/>
    <mergeCell ref="O1475:O1476"/>
    <mergeCell ref="A1477:A1478"/>
    <mergeCell ref="B1477:B1478"/>
    <mergeCell ref="C1477:C1478"/>
    <mergeCell ref="D1477:D1478"/>
    <mergeCell ref="E1477:E1478"/>
    <mergeCell ref="F1477:F1478"/>
    <mergeCell ref="G1477:G1478"/>
    <mergeCell ref="H1475:H1476"/>
    <mergeCell ref="J1475:J1476"/>
    <mergeCell ref="K1477:K1478"/>
    <mergeCell ref="L1477:L1478"/>
    <mergeCell ref="M1475:M1476"/>
    <mergeCell ref="N1475:N1476"/>
    <mergeCell ref="K1475:K1476"/>
    <mergeCell ref="L1475:L1476"/>
    <mergeCell ref="O1477:O1478"/>
    <mergeCell ref="A1481:A1482"/>
    <mergeCell ref="C1481:C1482"/>
    <mergeCell ref="D1481:D1482"/>
    <mergeCell ref="E1481:E1482"/>
    <mergeCell ref="F1481:F1482"/>
    <mergeCell ref="G1481:G1482"/>
    <mergeCell ref="H1481:H1482"/>
    <mergeCell ref="H1477:H1478"/>
    <mergeCell ref="J1477:J1478"/>
    <mergeCell ref="M1481:M1482"/>
    <mergeCell ref="N1481:N1482"/>
    <mergeCell ref="O1481:O1482"/>
    <mergeCell ref="I1259:I1260"/>
    <mergeCell ref="I1481:I1482"/>
    <mergeCell ref="J1481:J1482"/>
    <mergeCell ref="K1481:K1482"/>
    <mergeCell ref="L1481:L1482"/>
    <mergeCell ref="M1477:M1478"/>
    <mergeCell ref="N1477:N1478"/>
    <mergeCell ref="A1495:A1496"/>
    <mergeCell ref="B1495:B1496"/>
    <mergeCell ref="C1495:C1496"/>
    <mergeCell ref="D1495:D1496"/>
    <mergeCell ref="H1277:H1278"/>
    <mergeCell ref="G1277:G1278"/>
    <mergeCell ref="F1277:F1278"/>
    <mergeCell ref="E1277:E1278"/>
    <mergeCell ref="H1473:H1474"/>
    <mergeCell ref="F1473:F1474"/>
    <mergeCell ref="K1495:K1496"/>
    <mergeCell ref="L1495:L1496"/>
    <mergeCell ref="M1495:M1496"/>
    <mergeCell ref="E1495:E1496"/>
    <mergeCell ref="F1495:F1496"/>
    <mergeCell ref="G1495:G1496"/>
    <mergeCell ref="H1495:H1496"/>
    <mergeCell ref="N1495:N1496"/>
    <mergeCell ref="O1495:O1496"/>
    <mergeCell ref="A1500:A1501"/>
    <mergeCell ref="C1500:C1501"/>
    <mergeCell ref="D1500:D1501"/>
    <mergeCell ref="E1500:E1501"/>
    <mergeCell ref="F1500:F1501"/>
    <mergeCell ref="G1500:G1501"/>
    <mergeCell ref="H1500:H1501"/>
    <mergeCell ref="I1500:I1501"/>
    <mergeCell ref="E1328:E1329"/>
    <mergeCell ref="H1309:H1310"/>
    <mergeCell ref="G1309:G1310"/>
    <mergeCell ref="F1309:F1310"/>
    <mergeCell ref="E1309:E1310"/>
    <mergeCell ref="J1500:J1501"/>
    <mergeCell ref="J1495:J1496"/>
    <mergeCell ref="J1473:J1474"/>
    <mergeCell ref="G1473:G1474"/>
    <mergeCell ref="H1471:H1472"/>
    <mergeCell ref="N1500:N1501"/>
    <mergeCell ref="I1503:I1504"/>
    <mergeCell ref="J1503:J1504"/>
    <mergeCell ref="K1503:K1504"/>
    <mergeCell ref="L1503:L1504"/>
    <mergeCell ref="O1500:O1501"/>
    <mergeCell ref="K1500:K1501"/>
    <mergeCell ref="L1500:L1501"/>
    <mergeCell ref="M1500:M1501"/>
    <mergeCell ref="A1508:A1509"/>
    <mergeCell ref="B1508:B1509"/>
    <mergeCell ref="C1508:C1509"/>
    <mergeCell ref="D1508:D1509"/>
    <mergeCell ref="A1503:A1504"/>
    <mergeCell ref="C1503:C1504"/>
    <mergeCell ref="D1503:D1504"/>
    <mergeCell ref="L1508:L1509"/>
    <mergeCell ref="M1503:M1504"/>
    <mergeCell ref="N1503:N1504"/>
    <mergeCell ref="O1503:O1504"/>
    <mergeCell ref="M1508:M1509"/>
    <mergeCell ref="N1508:N1509"/>
    <mergeCell ref="O1508:O1509"/>
    <mergeCell ref="O1511:O1512"/>
    <mergeCell ref="J1511:J1512"/>
    <mergeCell ref="A1511:A1512"/>
    <mergeCell ref="B1511:B1512"/>
    <mergeCell ref="C1511:C1512"/>
    <mergeCell ref="D1511:D1512"/>
    <mergeCell ref="C1513:C1514"/>
    <mergeCell ref="D1513:D1514"/>
    <mergeCell ref="E1513:E1514"/>
    <mergeCell ref="F1513:F1514"/>
    <mergeCell ref="E1511:E1512"/>
    <mergeCell ref="F1511:F1512"/>
    <mergeCell ref="L1511:L1512"/>
    <mergeCell ref="N1513:N1514"/>
    <mergeCell ref="G1513:G1514"/>
    <mergeCell ref="H1513:H1514"/>
    <mergeCell ref="I1513:I1514"/>
    <mergeCell ref="H1511:H1512"/>
    <mergeCell ref="G1511:G1512"/>
    <mergeCell ref="A1515:A1516"/>
    <mergeCell ref="B1515:B1516"/>
    <mergeCell ref="C1515:C1516"/>
    <mergeCell ref="D1515:D1516"/>
    <mergeCell ref="E1515:E1516"/>
    <mergeCell ref="F1515:F1516"/>
    <mergeCell ref="F1508:F1509"/>
    <mergeCell ref="K1515:K1516"/>
    <mergeCell ref="J1513:J1514"/>
    <mergeCell ref="K1513:K1514"/>
    <mergeCell ref="K1511:K1512"/>
    <mergeCell ref="O1513:O1514"/>
    <mergeCell ref="G1515:G1516"/>
    <mergeCell ref="H1515:H1516"/>
    <mergeCell ref="J1515:J1516"/>
    <mergeCell ref="L1513:L1514"/>
    <mergeCell ref="N1515:N1516"/>
    <mergeCell ref="O1515:O1516"/>
    <mergeCell ref="L1515:L1516"/>
    <mergeCell ref="M1515:M1516"/>
    <mergeCell ref="H1508:H1509"/>
    <mergeCell ref="J1508:J1509"/>
    <mergeCell ref="K1508:K1509"/>
    <mergeCell ref="M1513:M1514"/>
    <mergeCell ref="M1511:M1512"/>
    <mergeCell ref="N1511:N1512"/>
    <mergeCell ref="H1328:H1329"/>
    <mergeCell ref="I1530:I1531"/>
    <mergeCell ref="J1530:J1531"/>
    <mergeCell ref="K1530:K1531"/>
    <mergeCell ref="L1530:L1531"/>
    <mergeCell ref="M1527:M1528"/>
    <mergeCell ref="H1530:H1531"/>
    <mergeCell ref="I1527:I1528"/>
    <mergeCell ref="J1527:J1528"/>
    <mergeCell ref="K1527:K1528"/>
    <mergeCell ref="L1527:L1528"/>
    <mergeCell ref="M1530:M1531"/>
    <mergeCell ref="N1530:N1531"/>
    <mergeCell ref="F1530:F1531"/>
    <mergeCell ref="G1530:G1531"/>
    <mergeCell ref="O1530:O1531"/>
    <mergeCell ref="N1527:N1528"/>
    <mergeCell ref="O1527:O1528"/>
    <mergeCell ref="F1356:F1357"/>
    <mergeCell ref="E1356:E1357"/>
    <mergeCell ref="B1530:B1531"/>
    <mergeCell ref="C1530:C1531"/>
    <mergeCell ref="D1530:D1531"/>
    <mergeCell ref="E1530:E1531"/>
    <mergeCell ref="B1527:B1528"/>
    <mergeCell ref="C1527:C1528"/>
    <mergeCell ref="D1527:D1528"/>
    <mergeCell ref="E1508:E1509"/>
    <mergeCell ref="F1533:F1534"/>
    <mergeCell ref="G1533:G1534"/>
    <mergeCell ref="H1533:H1534"/>
    <mergeCell ref="I1533:I1534"/>
    <mergeCell ref="B1533:B1534"/>
    <mergeCell ref="C1533:C1534"/>
    <mergeCell ref="D1533:D1534"/>
    <mergeCell ref="H1535:H1536"/>
    <mergeCell ref="J1535:J1536"/>
    <mergeCell ref="J1533:J1534"/>
    <mergeCell ref="K1533:K1534"/>
    <mergeCell ref="L1533:L1534"/>
    <mergeCell ref="M1533:M1534"/>
    <mergeCell ref="A1535:A1536"/>
    <mergeCell ref="C1535:C1536"/>
    <mergeCell ref="D1535:D1536"/>
    <mergeCell ref="E1535:E1536"/>
    <mergeCell ref="F1535:F1536"/>
    <mergeCell ref="G1535:G1536"/>
    <mergeCell ref="K1535:K1536"/>
    <mergeCell ref="L1535:L1536"/>
    <mergeCell ref="M1535:M1536"/>
    <mergeCell ref="N1535:N1536"/>
    <mergeCell ref="N1533:N1534"/>
    <mergeCell ref="O1533:O1534"/>
    <mergeCell ref="M1537:M1538"/>
    <mergeCell ref="N1537:N1538"/>
    <mergeCell ref="O1535:O1536"/>
    <mergeCell ref="A1537:A1538"/>
    <mergeCell ref="C1537:C1538"/>
    <mergeCell ref="D1537:D1538"/>
    <mergeCell ref="E1537:E1538"/>
    <mergeCell ref="F1537:F1538"/>
    <mergeCell ref="G1537:G1538"/>
    <mergeCell ref="H1537:H1538"/>
    <mergeCell ref="F1544:F1545"/>
    <mergeCell ref="G1544:G1545"/>
    <mergeCell ref="H1544:H1545"/>
    <mergeCell ref="J1544:J1545"/>
    <mergeCell ref="K1537:K1538"/>
    <mergeCell ref="L1537:L1538"/>
    <mergeCell ref="I1537:I1538"/>
    <mergeCell ref="J1537:J1538"/>
    <mergeCell ref="K1544:K1545"/>
    <mergeCell ref="L1544:L1545"/>
    <mergeCell ref="M1544:M1545"/>
    <mergeCell ref="N1544:N1545"/>
    <mergeCell ref="O1537:O1538"/>
    <mergeCell ref="A1544:A1545"/>
    <mergeCell ref="B1544:B1545"/>
    <mergeCell ref="C1544:C1545"/>
    <mergeCell ref="D1544:D1545"/>
    <mergeCell ref="E1544:E1545"/>
    <mergeCell ref="O1544:O1545"/>
    <mergeCell ref="B1546:B1547"/>
    <mergeCell ref="C1546:C1547"/>
    <mergeCell ref="D1546:D1547"/>
    <mergeCell ref="E1546:E1547"/>
    <mergeCell ref="F1546:F1547"/>
    <mergeCell ref="G1546:G1547"/>
    <mergeCell ref="H1546:H1547"/>
    <mergeCell ref="I1546:I1547"/>
    <mergeCell ref="J1546:J1547"/>
    <mergeCell ref="I1548:I1549"/>
    <mergeCell ref="J1548:J1549"/>
    <mergeCell ref="K1546:K1547"/>
    <mergeCell ref="L1546:L1547"/>
    <mergeCell ref="M1546:M1547"/>
    <mergeCell ref="N1546:N1547"/>
    <mergeCell ref="M1548:M1549"/>
    <mergeCell ref="N1548:N1549"/>
    <mergeCell ref="O1546:O1547"/>
    <mergeCell ref="F1548:F1549"/>
    <mergeCell ref="A1548:A1549"/>
    <mergeCell ref="C1548:C1549"/>
    <mergeCell ref="D1548:D1549"/>
    <mergeCell ref="E1548:E1549"/>
    <mergeCell ref="G1548:G1549"/>
    <mergeCell ref="H1548:H1549"/>
    <mergeCell ref="A1550:A1551"/>
    <mergeCell ref="B1550:B1551"/>
    <mergeCell ref="C1550:C1551"/>
    <mergeCell ref="D1550:D1551"/>
    <mergeCell ref="O1548:O1549"/>
    <mergeCell ref="H1374:H1375"/>
    <mergeCell ref="G1374:G1375"/>
    <mergeCell ref="F1374:F1375"/>
    <mergeCell ref="K1548:K1549"/>
    <mergeCell ref="L1548:L1549"/>
    <mergeCell ref="G1552:G1553"/>
    <mergeCell ref="H1552:H1553"/>
    <mergeCell ref="J1550:J1551"/>
    <mergeCell ref="K1550:K1551"/>
    <mergeCell ref="L1550:L1551"/>
    <mergeCell ref="M1550:M1551"/>
    <mergeCell ref="A1552:A1553"/>
    <mergeCell ref="B1552:B1553"/>
    <mergeCell ref="C1552:C1553"/>
    <mergeCell ref="D1552:D1553"/>
    <mergeCell ref="E1552:E1553"/>
    <mergeCell ref="F1552:F1553"/>
    <mergeCell ref="J1552:J1553"/>
    <mergeCell ref="K1552:K1553"/>
    <mergeCell ref="L1552:L1553"/>
    <mergeCell ref="M1552:M1553"/>
    <mergeCell ref="N1550:N1551"/>
    <mergeCell ref="O1550:O1551"/>
    <mergeCell ref="N1552:N1553"/>
    <mergeCell ref="O1552:O1553"/>
    <mergeCell ref="A1554:A1555"/>
    <mergeCell ref="B1554:B1555"/>
    <mergeCell ref="C1554:C1555"/>
    <mergeCell ref="D1554:D1555"/>
    <mergeCell ref="E1554:E1555"/>
    <mergeCell ref="F1554:F1555"/>
    <mergeCell ref="G1554:G1555"/>
    <mergeCell ref="H1554:H1555"/>
    <mergeCell ref="H1556:H1557"/>
    <mergeCell ref="I1556:I1557"/>
    <mergeCell ref="J1554:J1555"/>
    <mergeCell ref="K1554:K1555"/>
    <mergeCell ref="L1554:L1555"/>
    <mergeCell ref="M1554:M1555"/>
    <mergeCell ref="A1556:A1557"/>
    <mergeCell ref="C1556:C1557"/>
    <mergeCell ref="D1556:D1557"/>
    <mergeCell ref="E1556:E1557"/>
    <mergeCell ref="F1556:F1557"/>
    <mergeCell ref="G1556:G1557"/>
    <mergeCell ref="J1556:J1557"/>
    <mergeCell ref="K1556:K1557"/>
    <mergeCell ref="L1556:L1557"/>
    <mergeCell ref="M1556:M1557"/>
    <mergeCell ref="N1554:N1555"/>
    <mergeCell ref="O1554:O1555"/>
    <mergeCell ref="N1556:N1557"/>
    <mergeCell ref="O1556:O1557"/>
    <mergeCell ref="A1558:A1559"/>
    <mergeCell ref="B1558:B1559"/>
    <mergeCell ref="C1558:C1559"/>
    <mergeCell ref="D1558:D1559"/>
    <mergeCell ref="E1558:E1559"/>
    <mergeCell ref="F1558:F1559"/>
    <mergeCell ref="G1558:G1559"/>
    <mergeCell ref="H1558:H1559"/>
    <mergeCell ref="O1558:O1559"/>
    <mergeCell ref="A1562:A1563"/>
    <mergeCell ref="B1562:B1563"/>
    <mergeCell ref="C1562:C1563"/>
    <mergeCell ref="D1562:D1563"/>
    <mergeCell ref="E1562:E1563"/>
    <mergeCell ref="F1562:F1563"/>
    <mergeCell ref="G1562:G1563"/>
    <mergeCell ref="J1558:J1559"/>
    <mergeCell ref="K1558:K1559"/>
    <mergeCell ref="J1562:J1563"/>
    <mergeCell ref="K1562:K1563"/>
    <mergeCell ref="L1562:L1563"/>
    <mergeCell ref="H1562:H1563"/>
    <mergeCell ref="M1562:M1563"/>
    <mergeCell ref="N1558:N1559"/>
    <mergeCell ref="L1558:L1559"/>
    <mergeCell ref="M1558:M1559"/>
    <mergeCell ref="O1566:O1567"/>
    <mergeCell ref="F1390:F1391"/>
    <mergeCell ref="E1390:E1391"/>
    <mergeCell ref="J1566:J1567"/>
    <mergeCell ref="K1566:K1567"/>
    <mergeCell ref="L1566:L1567"/>
    <mergeCell ref="M1566:M1567"/>
    <mergeCell ref="N1562:N1563"/>
    <mergeCell ref="O1562:O1563"/>
    <mergeCell ref="E1566:E1567"/>
    <mergeCell ref="N1566:N1567"/>
    <mergeCell ref="A1566:A1567"/>
    <mergeCell ref="B1566:B1567"/>
    <mergeCell ref="C1566:C1567"/>
    <mergeCell ref="D1566:D1567"/>
    <mergeCell ref="F1566:F1567"/>
    <mergeCell ref="G1566:G1567"/>
    <mergeCell ref="H1566:H1567"/>
    <mergeCell ref="I1569:I1570"/>
    <mergeCell ref="J1569:J1570"/>
    <mergeCell ref="K1569:K1570"/>
    <mergeCell ref="L1569:L1570"/>
    <mergeCell ref="A1569:A1570"/>
    <mergeCell ref="C1569:C1570"/>
    <mergeCell ref="D1569:D1570"/>
    <mergeCell ref="M1569:M1570"/>
    <mergeCell ref="N1569:N1570"/>
    <mergeCell ref="O1569:O1570"/>
    <mergeCell ref="A1571:A1572"/>
    <mergeCell ref="B1571:B1572"/>
    <mergeCell ref="C1571:C1572"/>
    <mergeCell ref="D1571:D1572"/>
    <mergeCell ref="E1571:E1572"/>
    <mergeCell ref="F1571:F1572"/>
    <mergeCell ref="G1571:G1572"/>
    <mergeCell ref="N1571:N1572"/>
    <mergeCell ref="O1571:O1572"/>
    <mergeCell ref="A1574:A1575"/>
    <mergeCell ref="B1574:B1575"/>
    <mergeCell ref="C1574:C1575"/>
    <mergeCell ref="D1574:D1575"/>
    <mergeCell ref="E1574:E1575"/>
    <mergeCell ref="F1574:F1575"/>
    <mergeCell ref="G1574:G1575"/>
    <mergeCell ref="H1571:H1572"/>
    <mergeCell ref="G1578:G1579"/>
    <mergeCell ref="O1578:O1579"/>
    <mergeCell ref="J1574:J1575"/>
    <mergeCell ref="K1574:K1575"/>
    <mergeCell ref="L1574:L1575"/>
    <mergeCell ref="M1571:M1572"/>
    <mergeCell ref="J1571:J1572"/>
    <mergeCell ref="K1571:K1572"/>
    <mergeCell ref="L1571:L1572"/>
    <mergeCell ref="M1574:M1575"/>
    <mergeCell ref="D1581:D1582"/>
    <mergeCell ref="E1581:E1582"/>
    <mergeCell ref="N1574:N1575"/>
    <mergeCell ref="O1574:O1575"/>
    <mergeCell ref="A1578:A1579"/>
    <mergeCell ref="B1578:B1579"/>
    <mergeCell ref="C1578:C1579"/>
    <mergeCell ref="D1578:D1579"/>
    <mergeCell ref="E1578:E1579"/>
    <mergeCell ref="F1578:F1579"/>
    <mergeCell ref="O1581:O1582"/>
    <mergeCell ref="J1578:J1579"/>
    <mergeCell ref="K1581:K1582"/>
    <mergeCell ref="L1581:L1582"/>
    <mergeCell ref="M1578:M1579"/>
    <mergeCell ref="J1581:J1582"/>
    <mergeCell ref="A1583:A1584"/>
    <mergeCell ref="C1583:C1584"/>
    <mergeCell ref="D1583:D1584"/>
    <mergeCell ref="E1583:E1584"/>
    <mergeCell ref="N1578:N1579"/>
    <mergeCell ref="K1578:K1579"/>
    <mergeCell ref="L1578:L1579"/>
    <mergeCell ref="H1578:H1579"/>
    <mergeCell ref="A1581:A1582"/>
    <mergeCell ref="C1581:C1582"/>
    <mergeCell ref="G1583:G1584"/>
    <mergeCell ref="H1583:H1584"/>
    <mergeCell ref="I1581:I1582"/>
    <mergeCell ref="F1581:F1582"/>
    <mergeCell ref="G1581:G1582"/>
    <mergeCell ref="H1581:H1582"/>
    <mergeCell ref="M1583:M1584"/>
    <mergeCell ref="N1583:N1584"/>
    <mergeCell ref="O1583:O1584"/>
    <mergeCell ref="G1390:G1391"/>
    <mergeCell ref="I1583:I1584"/>
    <mergeCell ref="J1583:J1584"/>
    <mergeCell ref="K1583:K1584"/>
    <mergeCell ref="L1583:L1584"/>
    <mergeCell ref="M1581:M1582"/>
    <mergeCell ref="N1581:N1582"/>
    <mergeCell ref="E1374:E1375"/>
    <mergeCell ref="I1356:I1357"/>
    <mergeCell ref="H1356:H1357"/>
    <mergeCell ref="G1356:G1357"/>
    <mergeCell ref="E1372:E1373"/>
    <mergeCell ref="F1372:F1373"/>
    <mergeCell ref="G1372:G1373"/>
    <mergeCell ref="H1372:H1373"/>
    <mergeCell ref="H1370:H1371"/>
    <mergeCell ref="I1360:I1361"/>
    <mergeCell ref="F1428:F1429"/>
    <mergeCell ref="E1428:E1429"/>
    <mergeCell ref="F1452:F1453"/>
    <mergeCell ref="G1452:G1453"/>
    <mergeCell ref="E1447:E1448"/>
    <mergeCell ref="F1447:F1448"/>
    <mergeCell ref="G1447:G1448"/>
    <mergeCell ref="H1430:H1431"/>
    <mergeCell ref="A1594:A1595"/>
    <mergeCell ref="C1594:C1595"/>
    <mergeCell ref="D1594:D1595"/>
    <mergeCell ref="E1594:E1595"/>
    <mergeCell ref="E1527:E1528"/>
    <mergeCell ref="H1503:H1504"/>
    <mergeCell ref="G1503:G1504"/>
    <mergeCell ref="F1503:F1504"/>
    <mergeCell ref="E1503:E1504"/>
    <mergeCell ref="O1594:O1595"/>
    <mergeCell ref="F1466:F1467"/>
    <mergeCell ref="E1466:E1467"/>
    <mergeCell ref="J1594:J1595"/>
    <mergeCell ref="K1594:K1595"/>
    <mergeCell ref="L1594:L1595"/>
    <mergeCell ref="M1594:M1595"/>
    <mergeCell ref="F1594:F1595"/>
    <mergeCell ref="G1594:G1595"/>
    <mergeCell ref="I1594:I1595"/>
    <mergeCell ref="I1603:I1604"/>
    <mergeCell ref="B1601:B1602"/>
    <mergeCell ref="C1601:C1602"/>
    <mergeCell ref="D1601:D1602"/>
    <mergeCell ref="N1594:N1595"/>
    <mergeCell ref="H1594:H1595"/>
    <mergeCell ref="I1601:I1602"/>
    <mergeCell ref="J1601:J1602"/>
    <mergeCell ref="K1601:K1602"/>
    <mergeCell ref="L1601:L1602"/>
    <mergeCell ref="A1603:A1604"/>
    <mergeCell ref="C1603:C1604"/>
    <mergeCell ref="D1603:D1604"/>
    <mergeCell ref="E1603:E1604"/>
    <mergeCell ref="F1603:F1604"/>
    <mergeCell ref="G1603:G1604"/>
    <mergeCell ref="J1603:J1604"/>
    <mergeCell ref="K1603:K1604"/>
    <mergeCell ref="L1603:L1604"/>
    <mergeCell ref="M1603:M1604"/>
    <mergeCell ref="N1601:N1602"/>
    <mergeCell ref="O1601:O1602"/>
    <mergeCell ref="M1601:M1602"/>
    <mergeCell ref="N1603:N1604"/>
    <mergeCell ref="O1603:O1604"/>
    <mergeCell ref="B1605:B1606"/>
    <mergeCell ref="C1605:C1606"/>
    <mergeCell ref="D1605:D1606"/>
    <mergeCell ref="E1605:E1606"/>
    <mergeCell ref="F1605:F1606"/>
    <mergeCell ref="G1605:G1606"/>
    <mergeCell ref="H1605:H1606"/>
    <mergeCell ref="N1605:N1606"/>
    <mergeCell ref="O1605:O1606"/>
    <mergeCell ref="A1607:A1608"/>
    <mergeCell ref="B1607:B1608"/>
    <mergeCell ref="C1607:C1608"/>
    <mergeCell ref="D1607:D1608"/>
    <mergeCell ref="E1607:E1608"/>
    <mergeCell ref="F1607:F1608"/>
    <mergeCell ref="G1607:G1608"/>
    <mergeCell ref="I1605:I1606"/>
    <mergeCell ref="J1607:J1608"/>
    <mergeCell ref="K1607:K1608"/>
    <mergeCell ref="L1607:L1608"/>
    <mergeCell ref="M1605:M1606"/>
    <mergeCell ref="J1605:J1606"/>
    <mergeCell ref="K1605:K1606"/>
    <mergeCell ref="L1605:L1606"/>
    <mergeCell ref="M1607:M1608"/>
    <mergeCell ref="N1607:N1608"/>
    <mergeCell ref="O1607:O1608"/>
    <mergeCell ref="B1615:B1616"/>
    <mergeCell ref="C1615:C1616"/>
    <mergeCell ref="D1615:D1616"/>
    <mergeCell ref="E1615:E1616"/>
    <mergeCell ref="F1615:F1616"/>
    <mergeCell ref="G1615:G1616"/>
    <mergeCell ref="H1615:H1616"/>
    <mergeCell ref="I1615:I1616"/>
    <mergeCell ref="O1615:O1616"/>
    <mergeCell ref="B1617:B1618"/>
    <mergeCell ref="C1617:C1618"/>
    <mergeCell ref="D1617:D1618"/>
    <mergeCell ref="E1617:E1618"/>
    <mergeCell ref="F1617:F1618"/>
    <mergeCell ref="G1617:G1618"/>
    <mergeCell ref="H1617:H1618"/>
    <mergeCell ref="O1617:O1618"/>
    <mergeCell ref="J1615:J1616"/>
    <mergeCell ref="I1617:I1618"/>
    <mergeCell ref="B1619:B1620"/>
    <mergeCell ref="C1619:C1620"/>
    <mergeCell ref="D1619:D1620"/>
    <mergeCell ref="E1619:E1620"/>
    <mergeCell ref="N1615:N1616"/>
    <mergeCell ref="K1615:K1616"/>
    <mergeCell ref="L1615:L1616"/>
    <mergeCell ref="M1615:M1616"/>
    <mergeCell ref="N1617:N1618"/>
    <mergeCell ref="K1617:K1618"/>
    <mergeCell ref="L1617:L1618"/>
    <mergeCell ref="O1619:O1620"/>
    <mergeCell ref="J1617:J1618"/>
    <mergeCell ref="K1619:K1620"/>
    <mergeCell ref="L1619:L1620"/>
    <mergeCell ref="M1617:M1618"/>
    <mergeCell ref="J1619:J1620"/>
    <mergeCell ref="I1619:I1620"/>
    <mergeCell ref="F1619:F1620"/>
    <mergeCell ref="G1619:G1620"/>
    <mergeCell ref="H1619:H1620"/>
    <mergeCell ref="B1621:B1622"/>
    <mergeCell ref="C1621:C1622"/>
    <mergeCell ref="D1621:D1622"/>
    <mergeCell ref="E1621:E1622"/>
    <mergeCell ref="M1621:M1622"/>
    <mergeCell ref="N1621:N1622"/>
    <mergeCell ref="O1621:O1622"/>
    <mergeCell ref="G1466:G1467"/>
    <mergeCell ref="I1621:I1622"/>
    <mergeCell ref="J1621:J1622"/>
    <mergeCell ref="K1621:K1622"/>
    <mergeCell ref="L1621:L1622"/>
    <mergeCell ref="M1619:M1620"/>
    <mergeCell ref="N1619:N1620"/>
    <mergeCell ref="G1508:G1509"/>
    <mergeCell ref="I1623:I1624"/>
    <mergeCell ref="A1623:A1624"/>
    <mergeCell ref="C1623:C1624"/>
    <mergeCell ref="D1623:D1624"/>
    <mergeCell ref="I1550:I1551"/>
    <mergeCell ref="G1550:G1551"/>
    <mergeCell ref="F1550:F1551"/>
    <mergeCell ref="E1550:E1551"/>
    <mergeCell ref="H1569:H1570"/>
    <mergeCell ref="H1628:H1629"/>
    <mergeCell ref="I1628:I1629"/>
    <mergeCell ref="J1623:J1624"/>
    <mergeCell ref="K1623:K1624"/>
    <mergeCell ref="L1623:L1624"/>
    <mergeCell ref="M1623:M1624"/>
    <mergeCell ref="B1628:B1629"/>
    <mergeCell ref="C1628:C1629"/>
    <mergeCell ref="D1628:D1629"/>
    <mergeCell ref="E1628:E1629"/>
    <mergeCell ref="F1628:F1629"/>
    <mergeCell ref="G1628:G1629"/>
    <mergeCell ref="J1628:J1629"/>
    <mergeCell ref="K1628:K1629"/>
    <mergeCell ref="L1628:L1629"/>
    <mergeCell ref="M1628:M1629"/>
    <mergeCell ref="N1623:N1624"/>
    <mergeCell ref="O1623:O1624"/>
    <mergeCell ref="N1628:N1629"/>
    <mergeCell ref="O1628:O1629"/>
    <mergeCell ref="B1631:B1632"/>
    <mergeCell ref="C1631:C1632"/>
    <mergeCell ref="D1631:D1632"/>
    <mergeCell ref="E1631:E1632"/>
    <mergeCell ref="F1631:F1632"/>
    <mergeCell ref="G1631:G1632"/>
    <mergeCell ref="H1631:H1632"/>
    <mergeCell ref="I1631:I1632"/>
    <mergeCell ref="H1633:H1634"/>
    <mergeCell ref="I1633:I1634"/>
    <mergeCell ref="J1631:J1632"/>
    <mergeCell ref="K1631:K1632"/>
    <mergeCell ref="L1631:L1632"/>
    <mergeCell ref="M1631:M1632"/>
    <mergeCell ref="B1633:B1634"/>
    <mergeCell ref="C1633:C1634"/>
    <mergeCell ref="D1633:D1634"/>
    <mergeCell ref="E1633:E1634"/>
    <mergeCell ref="F1633:F1634"/>
    <mergeCell ref="G1633:G1634"/>
    <mergeCell ref="J1633:J1634"/>
    <mergeCell ref="K1633:K1634"/>
    <mergeCell ref="L1633:L1634"/>
    <mergeCell ref="M1633:M1634"/>
    <mergeCell ref="N1631:N1632"/>
    <mergeCell ref="O1631:O1632"/>
    <mergeCell ref="N1633:N1634"/>
    <mergeCell ref="O1633:O1634"/>
    <mergeCell ref="B1635:B1636"/>
    <mergeCell ref="C1635:C1636"/>
    <mergeCell ref="D1635:D1636"/>
    <mergeCell ref="E1635:E1636"/>
    <mergeCell ref="F1635:F1636"/>
    <mergeCell ref="G1635:G1636"/>
    <mergeCell ref="H1635:H1636"/>
    <mergeCell ref="I1635:I1636"/>
    <mergeCell ref="H1638:H1639"/>
    <mergeCell ref="I1638:I1639"/>
    <mergeCell ref="J1635:J1636"/>
    <mergeCell ref="K1635:K1636"/>
    <mergeCell ref="L1635:L1636"/>
    <mergeCell ref="M1635:M1636"/>
    <mergeCell ref="B1638:B1639"/>
    <mergeCell ref="C1638:C1639"/>
    <mergeCell ref="D1638:D1639"/>
    <mergeCell ref="E1638:E1639"/>
    <mergeCell ref="F1638:F1639"/>
    <mergeCell ref="G1638:G1639"/>
    <mergeCell ref="J1638:J1639"/>
    <mergeCell ref="K1638:K1639"/>
    <mergeCell ref="L1638:L1639"/>
    <mergeCell ref="M1638:M1639"/>
    <mergeCell ref="N1635:N1636"/>
    <mergeCell ref="O1635:O1636"/>
    <mergeCell ref="N1638:N1639"/>
    <mergeCell ref="O1638:O1639"/>
    <mergeCell ref="B1640:B1641"/>
    <mergeCell ref="C1640:C1641"/>
    <mergeCell ref="D1640:D1641"/>
    <mergeCell ref="E1640:E1641"/>
    <mergeCell ref="F1640:F1641"/>
    <mergeCell ref="G1640:G1641"/>
    <mergeCell ref="H1640:H1641"/>
    <mergeCell ref="J1640:J1641"/>
    <mergeCell ref="G1642:G1643"/>
    <mergeCell ref="H1642:H1643"/>
    <mergeCell ref="K1640:K1641"/>
    <mergeCell ref="L1640:L1641"/>
    <mergeCell ref="M1640:M1641"/>
    <mergeCell ref="N1640:N1641"/>
    <mergeCell ref="A1642:A1643"/>
    <mergeCell ref="B1642:B1643"/>
    <mergeCell ref="C1642:C1643"/>
    <mergeCell ref="D1642:D1643"/>
    <mergeCell ref="E1642:E1643"/>
    <mergeCell ref="F1642:F1643"/>
    <mergeCell ref="O1642:O1643"/>
    <mergeCell ref="H1527:H1528"/>
    <mergeCell ref="G1527:G1528"/>
    <mergeCell ref="F1527:F1528"/>
    <mergeCell ref="K1642:K1643"/>
    <mergeCell ref="L1642:L1643"/>
    <mergeCell ref="M1642:M1643"/>
    <mergeCell ref="N1642:N1643"/>
    <mergeCell ref="O1640:O1641"/>
    <mergeCell ref="J1642:J1643"/>
    <mergeCell ref="J1644:J1645"/>
    <mergeCell ref="K1644:K1645"/>
    <mergeCell ref="L1644:L1645"/>
    <mergeCell ref="M1644:M1645"/>
    <mergeCell ref="A1644:A1645"/>
    <mergeCell ref="B1644:B1645"/>
    <mergeCell ref="C1644:C1645"/>
    <mergeCell ref="D1644:D1645"/>
    <mergeCell ref="N1644:N1645"/>
    <mergeCell ref="O1644:O1645"/>
    <mergeCell ref="A1646:A1647"/>
    <mergeCell ref="B1646:B1647"/>
    <mergeCell ref="C1646:C1647"/>
    <mergeCell ref="D1646:D1647"/>
    <mergeCell ref="E1646:E1647"/>
    <mergeCell ref="F1646:F1647"/>
    <mergeCell ref="G1646:G1647"/>
    <mergeCell ref="H1646:H1647"/>
    <mergeCell ref="H1648:H1649"/>
    <mergeCell ref="J1648:J1649"/>
    <mergeCell ref="J1646:J1647"/>
    <mergeCell ref="K1646:K1647"/>
    <mergeCell ref="L1646:L1647"/>
    <mergeCell ref="M1646:M1647"/>
    <mergeCell ref="B1648:B1649"/>
    <mergeCell ref="C1648:C1649"/>
    <mergeCell ref="D1648:D1649"/>
    <mergeCell ref="E1648:E1649"/>
    <mergeCell ref="F1648:F1649"/>
    <mergeCell ref="G1648:G1649"/>
    <mergeCell ref="K1648:K1649"/>
    <mergeCell ref="L1648:L1649"/>
    <mergeCell ref="M1648:M1649"/>
    <mergeCell ref="N1648:N1649"/>
    <mergeCell ref="N1646:N1647"/>
    <mergeCell ref="O1646:O1647"/>
    <mergeCell ref="K1650:K1651"/>
    <mergeCell ref="L1650:L1651"/>
    <mergeCell ref="C1650:C1651"/>
    <mergeCell ref="D1650:D1651"/>
    <mergeCell ref="E1650:E1651"/>
    <mergeCell ref="F1650:F1651"/>
    <mergeCell ref="E1569:E1570"/>
    <mergeCell ref="H1574:H1575"/>
    <mergeCell ref="M1650:M1651"/>
    <mergeCell ref="N1650:N1651"/>
    <mergeCell ref="O1650:O1651"/>
    <mergeCell ref="E1533:E1534"/>
    <mergeCell ref="O1648:O1649"/>
    <mergeCell ref="G1650:G1651"/>
    <mergeCell ref="H1650:H1651"/>
    <mergeCell ref="J1650:J1651"/>
    <mergeCell ref="G1623:G1624"/>
    <mergeCell ref="H1623:H1624"/>
    <mergeCell ref="H1607:H1608"/>
    <mergeCell ref="F1621:F1622"/>
    <mergeCell ref="G1569:G1570"/>
    <mergeCell ref="F1569:F1570"/>
    <mergeCell ref="G1621:G1622"/>
    <mergeCell ref="H1621:H1622"/>
    <mergeCell ref="H1603:H1604"/>
    <mergeCell ref="F1583:F1584"/>
    <mergeCell ref="H1644:H1645"/>
    <mergeCell ref="G1644:G1645"/>
    <mergeCell ref="F1644:F1645"/>
    <mergeCell ref="E1644:E1645"/>
    <mergeCell ref="E1623:E1624"/>
    <mergeCell ref="H1601:H1602"/>
    <mergeCell ref="G1601:G1602"/>
    <mergeCell ref="F1601:F1602"/>
    <mergeCell ref="E1601:E1602"/>
    <mergeCell ref="F1623:F1624"/>
  </mergeCells>
  <printOptions/>
  <pageMargins left="0.787401575" right="0.787401575" top="0.984251969" bottom="0.984251969" header="0.4921259845" footer="0.4921259845"/>
  <pageSetup horizontalDpi="600" verticalDpi="600" orientation="landscape" paperSize="9" r:id="rId2"/>
  <headerFooter alignWithMargins="0">
    <oddHeader>&amp;C&amp;"Arial,Fett"Stoffliste zur Regel "Unterricht in Schulen mit gefährlichen Stoffen" (BG/GUV-SR 2004)</oddHeader>
    <oddFooter>&amp;C&amp;"Arial,Fett"Herausgeber: Deutsche Gesetzliche Unfallversicherung
Stand 29. November 2010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DGUV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dohm.sebastian</dc:creator>
  <cp:keywords/>
  <dc:description/>
  <cp:lastModifiedBy>Dagmar</cp:lastModifiedBy>
  <cp:lastPrinted>2010-12-03T07:14:36Z</cp:lastPrinted>
  <dcterms:created xsi:type="dcterms:W3CDTF">2010-10-21T11:22:18Z</dcterms:created>
  <dcterms:modified xsi:type="dcterms:W3CDTF">2012-10-18T19:18:25Z</dcterms:modified>
  <cp:category/>
  <cp:version/>
  <cp:contentType/>
  <cp:contentStatus/>
</cp:coreProperties>
</file>